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aPi/54rVVqQ6XNhIQ0H8yTEwWf/u6a+B5OMPAp33K6Akv28vA4tPAXWaj9Cr2zoxTJlK8/7KvNgk0haUdcbw9A==" workbookSaltValue="ArwvQYTl1ybWNPOX4hVq+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G16" i="13" s="1"/>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8"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8" i="2" s="1"/>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E9" i="13" s="1"/>
  <c r="BA9" i="13"/>
  <c r="AY9" i="13"/>
  <c r="BC12" i="13"/>
  <c r="BC11" i="13"/>
  <c r="BC10" i="13"/>
  <c r="BB10" i="13"/>
  <c r="BE10" i="13" s="1"/>
  <c r="BA10" i="13"/>
  <c r="AZ10" i="13"/>
  <c r="BG10" i="13" s="1"/>
  <c r="AY10" i="13"/>
  <c r="BC9" i="13"/>
  <c r="BC17" i="13"/>
  <c r="BB17" i="13"/>
  <c r="BB18" i="13" s="1"/>
  <c r="BA17" i="13"/>
  <c r="AZ17" i="13"/>
  <c r="AZ18" i="13" s="1"/>
  <c r="AY17" i="13"/>
  <c r="BC16" i="13"/>
  <c r="BF16" i="13" s="1"/>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C16" i="6" s="1"/>
  <c r="I17" i="2"/>
  <c r="G15" i="2"/>
  <c r="G16" i="2"/>
  <c r="G17" i="2"/>
  <c r="E15" i="2"/>
  <c r="E16" i="2"/>
  <c r="AL16" i="11" s="1"/>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EP19" i="8"/>
  <c r="ER19" i="13"/>
  <c r="AL13" i="16"/>
  <c r="AJ13" i="16"/>
  <c r="EP19" i="19"/>
  <c r="S13" i="16"/>
  <c r="P13" i="16"/>
  <c r="AM13" i="20"/>
  <c r="M13" i="2"/>
  <c r="N13" i="2"/>
  <c r="T13" i="12"/>
  <c r="T13" i="16"/>
  <c r="T13" i="20"/>
  <c r="BF15" i="8"/>
  <c r="AU18" i="21"/>
  <c r="AH13" i="16"/>
  <c r="AP13" i="16"/>
  <c r="BG15" i="13"/>
  <c r="AX20" i="20"/>
  <c r="AC19" i="8" l="1"/>
  <c r="S19" i="8"/>
  <c r="C12" i="14"/>
  <c r="K12" i="14" s="1"/>
  <c r="B13" i="2"/>
  <c r="BD15" i="13"/>
  <c r="BE15" i="13"/>
  <c r="BE16" i="13"/>
  <c r="BF9" i="8"/>
  <c r="J9" i="7" s="1"/>
  <c r="AB13" i="21"/>
  <c r="AB19" i="21" s="1"/>
  <c r="R8" i="9"/>
  <c r="T17" i="11" s="1"/>
  <c r="X10" i="17"/>
  <c r="X17" i="20"/>
  <c r="L11" i="2"/>
  <c r="S17" i="14"/>
  <c r="V17" i="14" s="1"/>
  <c r="S9" i="14"/>
  <c r="V9" i="14" s="1"/>
  <c r="AA10" i="16"/>
  <c r="AA9" i="16"/>
  <c r="AQ13" i="21"/>
  <c r="J18" i="17"/>
  <c r="E13" i="17"/>
  <c r="BE12" i="13"/>
  <c r="H13" i="12"/>
  <c r="BF16" i="8"/>
  <c r="BF12" i="8"/>
  <c r="J12" i="7" s="1"/>
  <c r="BD15" i="8"/>
  <c r="AP13" i="17"/>
  <c r="L19" i="8"/>
  <c r="AR18" i="11"/>
  <c r="Z13" i="17"/>
  <c r="AL12" i="11"/>
  <c r="E12" i="6"/>
  <c r="F10" i="2"/>
  <c r="N19" i="19"/>
  <c r="P19" i="19"/>
  <c r="R19" i="19"/>
  <c r="T19" i="19"/>
  <c r="V19" i="19"/>
  <c r="Z19" i="19"/>
  <c r="AB19" i="19"/>
  <c r="AD19" i="19"/>
  <c r="AL19" i="19"/>
  <c r="AR19" i="19"/>
  <c r="I19" i="19"/>
  <c r="CK19" i="19"/>
  <c r="AB19" i="13"/>
  <c r="BB13" i="13"/>
  <c r="BC18" i="13"/>
  <c r="AB19" i="8"/>
  <c r="AR13" i="21"/>
  <c r="AN12" i="11"/>
  <c r="G11" i="3"/>
  <c r="D10" i="6"/>
  <c r="BE17" i="8"/>
  <c r="BD17" i="8"/>
  <c r="BG12" i="8"/>
  <c r="K12" i="7" s="1"/>
  <c r="AY18" i="8"/>
  <c r="BE15" i="8"/>
  <c r="I15" i="7" s="1"/>
  <c r="O19" i="8"/>
  <c r="AL15" i="11"/>
  <c r="AP10" i="11"/>
  <c r="BM18" i="16"/>
  <c r="AS19" i="8"/>
  <c r="H18" i="16"/>
  <c r="F11" i="16"/>
  <c r="AC11" i="11"/>
  <c r="N9" i="11"/>
  <c r="G17" i="3"/>
  <c r="G15" i="3"/>
  <c r="I12" i="3"/>
  <c r="I10" i="3"/>
  <c r="AO17" i="11"/>
  <c r="I18" i="2"/>
  <c r="H17" i="2"/>
  <c r="T10" i="21"/>
  <c r="BB19" i="19"/>
  <c r="EL19" i="19"/>
  <c r="U19" i="19"/>
  <c r="AQ19" i="19"/>
  <c r="ER19" i="19"/>
  <c r="AQ19" i="13"/>
  <c r="AO19" i="13"/>
  <c r="AM19" i="13"/>
  <c r="AE19" i="13"/>
  <c r="BE17" i="13"/>
  <c r="I19" i="8"/>
  <c r="BE9" i="8"/>
  <c r="I9" i="7" s="1"/>
  <c r="BG15" i="8"/>
  <c r="B17" i="6"/>
  <c r="R19" i="8"/>
  <c r="CI19" i="8"/>
  <c r="Y19" i="8"/>
  <c r="AE19" i="8"/>
  <c r="E18" i="7"/>
  <c r="G18" i="12"/>
  <c r="B18" i="3"/>
  <c r="B18" i="2"/>
  <c r="Y17" i="11"/>
  <c r="BJ13" i="16"/>
  <c r="AR13" i="11"/>
  <c r="G18" i="7"/>
  <c r="AE13" i="17"/>
  <c r="BN18" i="16"/>
  <c r="BN19" i="16" s="1"/>
  <c r="H13" i="21"/>
  <c r="H19" i="21" s="1"/>
  <c r="AO13" i="21"/>
  <c r="AQ10" i="11"/>
  <c r="I17" i="3"/>
  <c r="E17" i="3"/>
  <c r="E15" i="3"/>
  <c r="AN11" i="11"/>
  <c r="G16" i="3"/>
  <c r="I9" i="10"/>
  <c r="K9" i="10" s="1"/>
  <c r="E9" i="6"/>
  <c r="H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J12" i="2"/>
  <c r="F12" i="11"/>
  <c r="AQ12" i="11" s="1"/>
  <c r="AK19" i="8"/>
  <c r="AC19" i="17"/>
  <c r="F16" i="17"/>
  <c r="F15" i="17"/>
  <c r="AQ15" i="17" s="1"/>
  <c r="AV13" i="17"/>
  <c r="AV18" i="17"/>
  <c r="AT18" i="17"/>
  <c r="W18" i="16"/>
  <c r="C15" i="14"/>
  <c r="K15" i="14" s="1"/>
  <c r="F9" i="12"/>
  <c r="E9" i="12"/>
  <c r="Y11" i="11"/>
  <c r="F11" i="11"/>
  <c r="AQ11" i="11" s="1"/>
  <c r="Y12" i="11"/>
  <c r="AP15" i="11"/>
  <c r="AC17" i="11"/>
  <c r="AC10" i="11"/>
  <c r="D16" i="6"/>
  <c r="G12" i="3"/>
  <c r="G10" i="3"/>
  <c r="I16" i="3"/>
  <c r="E12" i="3"/>
  <c r="F16" i="10"/>
  <c r="J17" i="10"/>
  <c r="L17" i="10" s="1"/>
  <c r="AO11" i="11"/>
  <c r="F12" i="2"/>
  <c r="AO12" i="11"/>
  <c r="B11" i="6"/>
  <c r="L11" i="14"/>
  <c r="D9" i="6"/>
  <c r="G13" i="2"/>
  <c r="L9" i="14"/>
  <c r="G18" i="2"/>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Q20" i="20"/>
  <c r="H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J18" i="2" l="1"/>
  <c r="J9" i="12"/>
  <c r="AP13" i="21"/>
  <c r="V10" i="21"/>
  <c r="V15" i="16"/>
  <c r="AA15" i="16"/>
  <c r="T15" i="11"/>
  <c r="R12" i="14"/>
  <c r="V15" i="20"/>
  <c r="V18" i="20" s="1"/>
  <c r="AA12" i="21"/>
  <c r="X13" i="20"/>
  <c r="I11" i="12"/>
  <c r="X12" i="21"/>
  <c r="T9" i="11"/>
  <c r="BF11" i="11"/>
  <c r="BH11" i="16"/>
  <c r="BL9" i="11"/>
  <c r="BH17" i="16"/>
  <c r="BG10" i="11"/>
  <c r="BM16" i="11"/>
  <c r="P17" i="17"/>
  <c r="BL17" i="11"/>
  <c r="BK12" i="11"/>
  <c r="BF10" i="11"/>
  <c r="BK9" i="11"/>
  <c r="BK13" i="11" s="1"/>
  <c r="X11" i="17"/>
  <c r="BK11" i="11"/>
  <c r="V11" i="11"/>
  <c r="AP10" i="21"/>
  <c r="BM12" i="11"/>
  <c r="BH9" i="11"/>
  <c r="BI15" i="11"/>
  <c r="BJ15" i="11"/>
  <c r="BJ12" i="11"/>
  <c r="AP15" i="20"/>
  <c r="BG15" i="11"/>
  <c r="R17" i="20"/>
  <c r="R18" i="20" s="1"/>
  <c r="BK17" i="11"/>
  <c r="AZ9" i="11"/>
  <c r="AP17" i="20"/>
  <c r="AZ15" i="11"/>
  <c r="AZ18" i="11" s="1"/>
  <c r="BU11" i="17"/>
  <c r="BV17" i="16"/>
  <c r="BU10" i="17"/>
  <c r="BV12" i="16"/>
  <c r="BW12" i="20"/>
  <c r="BV11" i="16"/>
  <c r="BW11" i="20"/>
  <c r="U10" i="17"/>
  <c r="BW10" i="20"/>
  <c r="V12" i="16"/>
  <c r="BU16" i="17"/>
  <c r="BV9" i="16"/>
  <c r="AA17" i="16"/>
  <c r="AZ12" i="11"/>
  <c r="T16" i="11"/>
  <c r="BG12" i="11"/>
  <c r="Q17" i="17"/>
  <c r="BH10" i="11"/>
  <c r="BI9" i="11"/>
  <c r="AQ10" i="21"/>
  <c r="S10" i="17"/>
  <c r="BH10" i="16"/>
  <c r="Q15" i="17"/>
  <c r="Q18" i="17" s="1"/>
  <c r="Q19" i="17" s="1"/>
  <c r="BM17" i="11"/>
  <c r="BF15" i="11"/>
  <c r="BH16" i="11"/>
  <c r="BH18" i="11" s="1"/>
  <c r="AQ12" i="21"/>
  <c r="BJ16" i="11"/>
  <c r="BL16" i="11"/>
  <c r="L10" i="2"/>
  <c r="L15" i="2"/>
  <c r="L16" i="2"/>
  <c r="X10" i="21"/>
  <c r="U9" i="17"/>
  <c r="U19" i="17" s="1"/>
  <c r="L9" i="2"/>
  <c r="V9" i="16"/>
  <c r="BH9" i="16"/>
  <c r="BJ17" i="11"/>
  <c r="BH15" i="16"/>
  <c r="V11" i="16"/>
  <c r="BF16" i="11"/>
  <c r="BL12" i="11"/>
  <c r="V12" i="21"/>
  <c r="S9" i="17"/>
  <c r="BI10" i="11"/>
  <c r="V9" i="11"/>
  <c r="R10" i="21"/>
  <c r="R13" i="21" s="1"/>
  <c r="R19" i="21" s="1"/>
  <c r="BG9" i="11"/>
  <c r="BH17" i="11"/>
  <c r="T17" i="16"/>
  <c r="BU15" i="17"/>
  <c r="BW17" i="20"/>
  <c r="BW16" i="20"/>
  <c r="BW15" i="20"/>
  <c r="BV10" i="16"/>
  <c r="S11" i="17"/>
  <c r="AZ11" i="11"/>
  <c r="S15" i="16"/>
  <c r="BF12" i="11"/>
  <c r="BL10" i="11"/>
  <c r="BK16" i="11"/>
  <c r="BG16" i="11"/>
  <c r="P16" i="11" s="1"/>
  <c r="BM9" i="11"/>
  <c r="BK10" i="11"/>
  <c r="S15" i="17"/>
  <c r="S16" i="17"/>
  <c r="L17" i="2"/>
  <c r="V10" i="16"/>
  <c r="AP16" i="20"/>
  <c r="V15" i="11"/>
  <c r="BH15" i="11"/>
  <c r="Q17" i="20"/>
  <c r="Q18" i="20" s="1"/>
  <c r="BF17" i="11"/>
  <c r="S17" i="16"/>
  <c r="V17" i="16"/>
  <c r="BK15" i="11"/>
  <c r="AZ17" i="11"/>
  <c r="Q10" i="21"/>
  <c r="Q13" i="21" s="1"/>
  <c r="Q19" i="21" s="1"/>
  <c r="BJ11" i="11"/>
  <c r="BI17" i="11"/>
  <c r="BL11" i="11"/>
  <c r="BM15" i="11"/>
  <c r="Q15" i="11" s="1"/>
  <c r="T15" i="16"/>
  <c r="BW9" i="20"/>
  <c r="BV16" i="16"/>
  <c r="BV15" i="16"/>
  <c r="BU9" i="17"/>
  <c r="BU17" i="17"/>
  <c r="BU12" i="17"/>
  <c r="AZ16" i="11"/>
  <c r="X17" i="17"/>
  <c r="P15" i="17"/>
  <c r="P18" i="17" s="1"/>
  <c r="P19" i="17" s="1"/>
  <c r="BL15" i="11"/>
  <c r="BJ10" i="11"/>
  <c r="BH11" i="11"/>
  <c r="S17" i="17"/>
  <c r="BH12" i="16"/>
  <c r="L12" i="2"/>
  <c r="X15" i="16"/>
  <c r="X18" i="16" s="1"/>
  <c r="T12" i="11"/>
  <c r="R17" i="14"/>
  <c r="S16" i="14"/>
  <c r="V16" i="14" s="1"/>
  <c r="AM16" i="11"/>
  <c r="AO16" i="17"/>
  <c r="AO12" i="17"/>
  <c r="AP13" i="20"/>
  <c r="X12" i="16"/>
  <c r="AA11" i="16"/>
  <c r="X15" i="17"/>
  <c r="X12" i="17"/>
  <c r="AA16" i="16"/>
  <c r="S15" i="14"/>
  <c r="V15" i="14" s="1"/>
  <c r="R16" i="14"/>
  <c r="R10" i="14"/>
  <c r="S10" i="14"/>
  <c r="V10" i="14" s="1"/>
  <c r="X9" i="16"/>
  <c r="X19" i="16" s="1"/>
  <c r="X16" i="20"/>
  <c r="U10" i="21"/>
  <c r="T17" i="20"/>
  <c r="X9" i="17"/>
  <c r="X16" i="17"/>
  <c r="S11" i="14"/>
  <c r="V11" i="14" s="1"/>
  <c r="T11" i="11"/>
  <c r="AM15" i="11"/>
  <c r="R11" i="14"/>
  <c r="S12" i="14"/>
  <c r="V12" i="14" s="1"/>
  <c r="V13" i="14" s="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D19" i="12" s="1"/>
  <c r="J17" i="7"/>
  <c r="BA13" i="8"/>
  <c r="BG9" i="8"/>
  <c r="K9" i="7" s="1"/>
  <c r="AO10" i="17"/>
  <c r="AM9" i="11"/>
  <c r="B12" i="6"/>
  <c r="J12" i="12"/>
  <c r="E13" i="2"/>
  <c r="F13" i="2" s="1"/>
  <c r="I12" i="7"/>
  <c r="I13" i="2"/>
  <c r="AM13" i="11" s="1"/>
  <c r="L12" i="14"/>
  <c r="AO9" i="11"/>
  <c r="AL11" i="11"/>
  <c r="H11" i="7"/>
  <c r="F9" i="2"/>
  <c r="AL9" i="11"/>
  <c r="AO9" i="17"/>
  <c r="AI19" i="8"/>
  <c r="E16" i="6"/>
  <c r="AN10" i="11"/>
  <c r="E15" i="6"/>
  <c r="K15" i="12" s="1"/>
  <c r="X19" i="8"/>
  <c r="F11" i="10"/>
  <c r="J11" i="10"/>
  <c r="L11" i="10" s="1"/>
  <c r="I12" i="12"/>
  <c r="E11" i="12"/>
  <c r="BG16" i="8"/>
  <c r="K16" i="7" s="1"/>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I17" i="12" s="1"/>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N19" i="21" s="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AI19" i="11" s="1"/>
  <c r="F12" i="12"/>
  <c r="F16" i="11"/>
  <c r="AU13" i="11"/>
  <c r="AP17" i="11"/>
  <c r="AT13" i="11"/>
  <c r="AV13" i="11"/>
  <c r="AV18" i="11"/>
  <c r="AX21" i="11"/>
  <c r="R13" i="11"/>
  <c r="Z13" i="11"/>
  <c r="AA13" i="11"/>
  <c r="AC12" i="11"/>
  <c r="AB18" i="11"/>
  <c r="AD13" i="11"/>
  <c r="AF18" i="11"/>
  <c r="AF13" i="11"/>
  <c r="I13" i="11"/>
  <c r="I18" i="11"/>
  <c r="J18" i="11"/>
  <c r="N12" i="1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L15" i="14"/>
  <c r="C15" i="6"/>
  <c r="I15" i="12" s="1"/>
  <c r="H21" i="21"/>
  <c r="AY13" i="11"/>
  <c r="U13" i="16"/>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Z10" i="11"/>
  <c r="AT18" i="11"/>
  <c r="M13" i="11"/>
  <c r="L13" i="11"/>
  <c r="AP16" i="11"/>
  <c r="Z18" i="11"/>
  <c r="AB13" i="11"/>
  <c r="W18" i="11"/>
  <c r="Y16" i="11"/>
  <c r="X18" i="11"/>
  <c r="AC9" i="11"/>
  <c r="H13" i="11"/>
  <c r="E13" i="12" s="1"/>
  <c r="S18" i="11"/>
  <c r="H18" i="11"/>
  <c r="X13" i="11"/>
  <c r="AA18" i="11"/>
  <c r="M18" i="11"/>
  <c r="C16" i="14"/>
  <c r="K16" i="14" s="1"/>
  <c r="AV19" i="17"/>
  <c r="J16" i="7"/>
  <c r="J16" i="12"/>
  <c r="F18" i="3"/>
  <c r="G18" i="3" s="1"/>
  <c r="H13" i="3"/>
  <c r="AN18" i="11"/>
  <c r="BF18" i="11"/>
  <c r="K12" i="12"/>
  <c r="AJ18" i="11"/>
  <c r="D18" i="5"/>
  <c r="F16" i="2"/>
  <c r="H16" i="2"/>
  <c r="J16" i="2"/>
  <c r="F13" i="3"/>
  <c r="E9" i="3"/>
  <c r="G9" i="3"/>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K19" i="19"/>
  <c r="AQ19" i="20" s="1"/>
  <c r="O19" i="19"/>
  <c r="W19" i="19"/>
  <c r="AE19" i="19"/>
  <c r="BH19" i="19"/>
  <c r="BC21" i="20"/>
  <c r="AC13" i="21"/>
  <c r="AC21" i="21" s="1"/>
  <c r="BE21" i="21"/>
  <c r="AS13" i="20"/>
  <c r="I18" i="20"/>
  <c r="I19" i="20" s="1"/>
  <c r="BC19" i="21"/>
  <c r="AZ19" i="19"/>
  <c r="AD13" i="21"/>
  <c r="AD19" i="21" s="1"/>
  <c r="Z13" i="2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V20" i="21"/>
  <c r="U17" i="11"/>
  <c r="T20" i="20"/>
  <c r="P12" i="11" l="1"/>
  <c r="AL19" i="21"/>
  <c r="V13" i="21"/>
  <c r="V19" i="21" s="1"/>
  <c r="U13" i="17"/>
  <c r="R19" i="20"/>
  <c r="AO13" i="17"/>
  <c r="V19" i="20"/>
  <c r="Q12" i="11"/>
  <c r="P15" i="11"/>
  <c r="BV18" i="16"/>
  <c r="T18" i="16"/>
  <c r="T19" i="16" s="1"/>
  <c r="P9" i="11"/>
  <c r="BK18" i="11"/>
  <c r="BV13" i="16"/>
  <c r="Q16" i="11"/>
  <c r="BW21" i="20"/>
  <c r="P17" i="11"/>
  <c r="BF13" i="8"/>
  <c r="BE13" i="8"/>
  <c r="AL13" i="11"/>
  <c r="B13" i="6"/>
  <c r="BU21" i="17"/>
  <c r="BK19" i="11"/>
  <c r="BH13" i="11"/>
  <c r="S18" i="16"/>
  <c r="S19" i="16" s="1"/>
  <c r="AZ13" i="11"/>
  <c r="AZ19" i="11"/>
  <c r="BJ18" i="11"/>
  <c r="Q9" i="1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AI20" i="16"/>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X20" i="17"/>
  <c r="L20" i="16"/>
  <c r="AL20" i="11"/>
  <c r="G20" i="12"/>
  <c r="F20" i="12"/>
  <c r="AY20" i="21"/>
  <c r="E20" i="21"/>
  <c r="BC20" i="21"/>
  <c r="BD20" i="21"/>
  <c r="AD20" i="21"/>
  <c r="BD20" i="16"/>
  <c r="AP20" i="17"/>
  <c r="AU20" i="21"/>
  <c r="BM20" i="16"/>
  <c r="X20" i="21"/>
  <c r="AE20" i="17"/>
  <c r="AT20" i="17"/>
  <c r="N20" i="11"/>
  <c r="S20" i="11"/>
  <c r="AD20" i="16"/>
  <c r="BK20" i="16"/>
  <c r="AR20" i="11"/>
  <c r="AN20" i="16"/>
  <c r="O20" i="11"/>
  <c r="AS20" i="11"/>
  <c r="L20" i="17"/>
  <c r="S20" i="17"/>
  <c r="E20" i="17"/>
  <c r="BE20" i="16"/>
  <c r="M20" i="11"/>
  <c r="J20" i="12"/>
  <c r="U20" i="11"/>
  <c r="AC20" i="11"/>
  <c r="L20" i="11"/>
  <c r="AJ20" i="21"/>
  <c r="H20" i="16"/>
  <c r="AO20" i="11"/>
  <c r="AW20" i="21"/>
  <c r="AK20" i="17"/>
  <c r="Q20" i="16"/>
  <c r="I20" i="12"/>
  <c r="AC20" i="17"/>
  <c r="AZ20" i="11"/>
  <c r="BI20" i="16"/>
  <c r="AP20" i="21"/>
  <c r="AD20" i="11"/>
  <c r="AZ20" i="16"/>
  <c r="V20" i="16"/>
  <c r="AE20" i="21"/>
  <c r="O20" i="21"/>
  <c r="H20" i="21"/>
  <c r="K20" i="16"/>
  <c r="J20" i="11"/>
  <c r="J20" i="17"/>
  <c r="AJ20" i="17"/>
  <c r="AR20" i="20"/>
  <c r="M20" i="21"/>
  <c r="F20" i="21"/>
  <c r="E20" i="16"/>
  <c r="P20" i="21"/>
  <c r="AJ20" i="16"/>
  <c r="AB20" i="21"/>
  <c r="F20" i="16"/>
  <c r="AV20" i="11"/>
  <c r="K20" i="17"/>
  <c r="P20" i="11"/>
  <c r="AB20" i="16"/>
  <c r="BJ20" i="16"/>
  <c r="AL20" i="16"/>
  <c r="AO20" i="16"/>
  <c r="E20" i="11"/>
  <c r="AV20" i="17"/>
  <c r="Z20" i="17"/>
  <c r="O12" i="11"/>
  <c r="BA20" i="16"/>
  <c r="BD19" i="8" l="1"/>
  <c r="AT20" i="21"/>
  <c r="BL20" i="16"/>
  <c r="AQ20" i="11"/>
  <c r="AQ20" i="17"/>
  <c r="AP20" i="11"/>
  <c r="BM19" i="11"/>
  <c r="BG19" i="11"/>
  <c r="G19" i="3"/>
  <c r="BV21" i="16"/>
  <c r="BV19" i="16"/>
  <c r="Q13" i="11"/>
  <c r="BG19" i="8"/>
  <c r="H19" i="2"/>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<sst xmlns="http://schemas.openxmlformats.org/spreadsheetml/2006/main" count="2088" uniqueCount="918">
  <si>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</si>
  <si>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</si>
  <si>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</si>
  <si>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</si>
  <si>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</si>
  <si>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</si>
  <si>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</si>
  <si>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</si>
  <si>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</si>
  <si>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</si>
  <si>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</si>
  <si>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</si>
  <si>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</si>
  <si>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</si>
  <si>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</si>
  <si>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</si>
  <si>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</si>
  <si>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</si>
  <si>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</si>
  <si>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</si>
  <si>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</si>
  <si>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</si>
  <si>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</si>
  <si>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</si>
  <si>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</si>
  <si>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</si>
  <si>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</si>
  <si>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</si>
  <si>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</si>
  <si>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</si>
  <si>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</si>
  <si>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</si>
  <si>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</si>
  <si>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</si>
  <si>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</si>
  <si>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</si>
  <si>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</si>
  <si>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</si>
  <si>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</si>
  <si>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</si>
  <si>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</si>
  <si>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</si>
  <si>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</si>
  <si>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</si>
  <si>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</si>
  <si>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</si>
  <si>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</si>
  <si>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</si>
  <si>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</si>
  <si>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</si>
  <si>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</si>
  <si>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</si>
  <si>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</si>
  <si>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</si>
  <si>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</si>
  <si>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</si>
  <si>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</si>
  <si>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</si>
  <si>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</si>
  <si>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</si>
  <si>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</si>
  <si>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</si>
  <si>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</si>
  <si>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</si>
  <si>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</si>
  <si>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</si>
  <si>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</si>
  <si>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</si>
  <si>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</si>
  <si>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</si>
  <si>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</si>
  <si>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</si>
  <si>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</si>
  <si>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</si>
  <si>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</si>
  <si>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</si>
  <si>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</si>
  <si>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</si>
  <si>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</si>
  <si>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</si>
  <si>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</si>
  <si>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</si>
  <si>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</si>
  <si>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</si>
  <si>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</si>
  <si>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</si>
  <si>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</si>
  <si>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</si>
  <si>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</si>
  <si>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</si>
  <si>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</si>
  <si>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</si>
  <si>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</si>
  <si>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</si>
  <si>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</si>
  <si>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</si>
  <si>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</si>
  <si>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</si>
  <si>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</si>
  <si>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</si>
  <si>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</si>
  <si>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</si>
  <si>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</si>
  <si>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</si>
  <si>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</si>
  <si>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</si>
  <si>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</si>
  <si>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</si>
  <si>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</si>
  <si>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</si>
  <si>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</si>
  <si>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</si>
  <si>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</si>
  <si>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</si>
  <si>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</si>
  <si>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</si>
  <si>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</si>
  <si>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</si>
  <si>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</si>
  <si>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</si>
  <si>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</si>
  <si>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</si>
  <si>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</si>
  <si>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</si>
  <si>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</si>
  <si>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</si>
  <si>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</si>
  <si>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</si>
  <si>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</si>
  <si>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</si>
  <si>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</si>
  <si>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</si>
  <si>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</si>
  <si>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</si>
  <si>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</si>
  <si>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</si>
  <si>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</si>
  <si>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</si>
  <si>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</si>
  <si>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</si>
  <si>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</si>
  <si>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</si>
  <si>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</si>
  <si>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</si>
  <si>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</si>
  <si>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</si>
  <si>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</si>
  <si>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</si>
  <si>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</si>
  <si>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</si>
  <si>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</si>
  <si>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</si>
  <si>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</si>
  <si>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</si>
  <si>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</si>
  <si>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</si>
  <si>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</si>
  <si>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</si>
  <si>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</si>
  <si>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</si>
  <si>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</si>
  <si>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</si>
  <si>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</si>
  <si>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</si>
  <si>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</si>
  <si>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</si>
  <si>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</si>
  <si>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</si>
  <si>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</si>
  <si>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</si>
  <si>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</si>
  <si>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</si>
  <si>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</si>
  <si>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</si>
  <si>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</si>
  <si>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</si>
  <si>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</si>
  <si>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</si>
  <si>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</si>
  <si>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</si>
  <si>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</si>
  <si>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</si>
  <si>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</si>
  <si>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</si>
  <si>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</si>
  <si>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</si>
  <si>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</si>
  <si>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</si>
  <si>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</si>
  <si>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</si>
  <si>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</si>
  <si>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</si>
  <si>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</si>
  <si>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</si>
  <si>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</si>
  <si>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</si>
  <si>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</si>
  <si>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</si>
  <si>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</si>
  <si>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</si>
  <si>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</si>
  <si>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</si>
  <si>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</si>
  <si>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</si>
  <si>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</si>
  <si>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</si>
  <si>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</si>
  <si>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</si>
  <si>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</si>
  <si>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</si>
  <si>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</si>
  <si>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</si>
  <si>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</si>
  <si>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</si>
  <si>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</si>
  <si>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</si>
  <si>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</si>
  <si>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</si>
  <si>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</si>
  <si>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</si>
  <si>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</si>
  <si>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</si>
  <si>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</si>
  <si>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</si>
  <si>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</si>
  <si>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</si>
  <si>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</si>
  <si>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</si>
  <si>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</si>
  <si>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</si>
  <si>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</si>
  <si>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</si>
  <si>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</si>
  <si>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</si>
  <si>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</si>
  <si>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</si>
  <si>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</si>
  <si>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</si>
  <si>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</si>
  <si>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</si>
  <si>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</si>
  <si>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</si>
  <si>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</si>
  <si>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</si>
  <si>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</si>
  <si>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</si>
  <si>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</si>
  <si>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</si>
  <si>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</si>
  <si>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</si>
  <si>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</si>
  <si>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</si>
  <si>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</si>
  <si>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</si>
  <si>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</si>
  <si>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</si>
  <si>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</si>
  <si>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</si>
  <si>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</si>
  <si>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</si>
  <si>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</si>
  <si>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</si>
  <si>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</si>
  <si>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</si>
  <si>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</si>
  <si>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</si>
  <si>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</si>
  <si>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</si>
  <si>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</si>
  <si>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</si>
  <si>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</si>
  <si>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</si>
  <si>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</si>
  <si>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</si>
  <si>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</si>
  <si>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</si>
  <si>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</si>
  <si>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</si>
  <si>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</si>
  <si>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</si>
  <si>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</si>
  <si>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</si>
  <si>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</si>
  <si>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</si>
  <si>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</si>
  <si>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</si>
  <si>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</si>
  <si>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</si>
  <si>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</si>
  <si>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</si>
  <si>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</si>
  <si>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</si>
  <si>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</si>
  <si>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</si>
  <si>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</si>
  <si>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</si>
  <si>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</si>
  <si>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</si>
  <si>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</si>
  <si>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</si>
  <si>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</si>
  <si>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</si>
  <si>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</si>
  <si>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</si>
  <si>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</si>
  <si>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</si>
  <si>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</si>
  <si>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</si>
  <si>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</si>
  <si>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</si>
  <si>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</si>
  <si>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</si>
  <si>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</si>
  <si>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</si>
  <si>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</si>
  <si>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</si>
  <si>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</si>
  <si>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</si>
  <si>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</si>
  <si>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</si>
  <si>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</si>
  <si>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</si>
  <si>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</si>
  <si>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</si>
  <si>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</si>
  <si>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</si>
  <si>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</si>
  <si>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</si>
  <si>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</si>
  <si>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</si>
  <si>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</si>
  <si>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</si>
  <si>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</si>
  <si>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</si>
  <si>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</si>
  <si>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</si>
  <si>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</si>
  <si>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</si>
  <si>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</si>
  <si>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</si>
  <si>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</si>
  <si>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</si>
  <si>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</si>
  <si>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</si>
  <si>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</si>
  <si>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</si>
  <si>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</si>
  <si>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</si>
  <si>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</si>
  <si>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</si>
  <si>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</si>
  <si>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</si>
  <si>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</si>
  <si>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</si>
  <si>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</si>
  <si>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</si>
  <si>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</si>
  <si>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</si>
  <si>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</si>
  <si>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</si>
  <si>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</si>
  <si>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</si>
  <si>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</si>
  <si>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</si>
  <si>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</si>
  <si>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</si>
  <si>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</si>
  <si>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</si>
  <si>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</si>
  <si>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</si>
  <si>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</si>
  <si>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</si>
  <si>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</si>
  <si>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</si>
  <si>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</si>
  <si>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</si>
  <si>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</si>
  <si>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</si>
  <si>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</si>
  <si>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</si>
  <si>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</si>
  <si>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</si>
  <si>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</si>
  <si>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</si>
  <si>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</si>
  <si>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</si>
  <si>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</si>
  <si>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</si>
  <si>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</si>
  <si>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</si>
  <si>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</si>
  <si>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</si>
  <si>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</si>
  <si>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</si>
  <si>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</si>
  <si>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</si>
  <si>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</si>
  <si>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</si>
  <si>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</si>
  <si>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</si>
  <si>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</si>
  <si>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</si>
  <si>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</si>
  <si>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</si>
  <si>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</si>
  <si>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</si>
  <si>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</si>
  <si>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</si>
  <si>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</si>
  <si>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</si>
  <si>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</si>
  <si>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</si>
  <si>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</si>
  <si>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</si>
  <si>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</si>
  <si>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</si>
  <si>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</si>
  <si>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</si>
  <si>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</si>
  <si>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</si>
  <si>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</si>
  <si>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</si>
  <si>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</si>
  <si>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</si>
  <si>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</si>
  <si>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</si>
  <si>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</si>
  <si>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</si>
  <si>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</si>
  <si>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</si>
  <si>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</si>
  <si>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</si>
  <si>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</si>
  <si>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</si>
  <si>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</si>
  <si>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</si>
  <si>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</si>
  <si>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</si>
  <si>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</si>
  <si>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</si>
  <si>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</si>
  <si>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</si>
  <si>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</si>
  <si>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</si>
  <si>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</si>
  <si>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</si>
  <si>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</si>
  <si>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</si>
  <si>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</si>
  <si>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</si>
  <si>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</si>
  <si>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</si>
  <si>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</si>
  <si>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</si>
  <si>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</si>
  <si>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</si>
  <si>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</si>
  <si>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</si>
  <si>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</si>
  <si>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</si>
  <si>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</si>
  <si>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</si>
  <si>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</si>
  <si>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</si>
  <si>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</si>
  <si>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</si>
  <si>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</si>
  <si>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</si>
  <si>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</si>
  <si>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</si>
  <si>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</si>
  <si>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</si>
  <si>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</si>
  <si>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</si>
  <si>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</si>
  <si>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</si>
  <si>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</si>
  <si>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</si>
  <si>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</si>
  <si>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</si>
  <si>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</si>
  <si>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</si>
  <si>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</si>
  <si>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</si>
  <si>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</si>
  <si>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</si>
  <si>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</si>
  <si>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</si>
  <si>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</si>
  <si>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</si>
  <si>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</si>
  <si>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</si>
  <si>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</si>
  <si>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</si>
  <si>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</si>
  <si>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</si>
  <si>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</si>
  <si>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</si>
  <si>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</si>
  <si>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</si>
  <si>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</si>
  <si>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</si>
  <si>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</si>
  <si>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</si>
  <si>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</si>
  <si>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</si>
  <si>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</si>
  <si>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</si>
  <si>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</si>
  <si>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</si>
  <si>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</si>
  <si>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</si>
  <si>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</si>
  <si>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</si>
  <si>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</si>
  <si>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</si>
  <si>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</si>
  <si>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</si>
  <si>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</si>
  <si>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</si>
  <si>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</si>
  <si>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</si>
  <si>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</si>
  <si>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</si>
  <si>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</si>
  <si>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</si>
  <si>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</si>
  <si>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</si>
  <si>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</si>
  <si>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</si>
  <si>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</si>
  <si>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</si>
  <si>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</si>
  <si>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</si>
  <si>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</si>
  <si>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</si>
  <si>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</si>
  <si>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</si>
  <si>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</si>
  <si>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</si>
  <si>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</si>
  <si>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</si>
  <si>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</si>
  <si>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</si>
  <si>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</si>
  <si>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</si>
  <si>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</si>
  <si>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</si>
  <si>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</si>
  <si>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</si>
  <si>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</si>
  <si>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</si>
  <si>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</si>
  <si>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</si>
  <si>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</si>
  <si>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</si>
  <si>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</si>
  <si>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</si>
  <si>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</si>
  <si>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</si>
  <si>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</si>
  <si>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</si>
  <si>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</si>
  <si>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</si>
  <si>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</si>
  <si>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</si>
  <si>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</si>
  <si>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</si>
  <si>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</si>
  <si>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</si>
  <si>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</si>
  <si>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</si>
  <si>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</si>
  <si>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</si>
  <si>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</si>
  <si>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</si>
  <si>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</si>
  <si>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</si>
  <si>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</si>
  <si>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</si>
  <si>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</si>
  <si>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</si>
  <si>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</si>
  <si>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</si>
  <si>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</si>
  <si>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</si>
  <si>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</si>
  <si>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</si>
  <si>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</si>
  <si>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</si>
  <si>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</si>
  <si>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</si>
  <si>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</si>
  <si>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</si>
  <si>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</si>
  <si>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</si>
  <si>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</si>
  <si>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</si>
  <si>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</si>
  <si>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</si>
  <si>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</si>
  <si>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</si>
  <si>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</si>
  <si>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</si>
  <si>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</si>
  <si>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</si>
  <si>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</si>
  <si>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</si>
  <si>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</si>
  <si>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</si>
  <si>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</si>
  <si>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</si>
  <si>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</si>
  <si>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</si>
  <si>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</si>
  <si>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</si>
  <si>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</si>
  <si>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</si>
  <si>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</si>
  <si>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</si>
  <si>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</si>
  <si>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</si>
  <si>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</si>
  <si>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</si>
  <si>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</si>
  <si>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</si>
  <si>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</si>
  <si>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</si>
  <si>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</si>
  <si>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</si>
  <si>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</si>
  <si>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</si>
  <si>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</si>
  <si>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</si>
  <si>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</si>
  <si>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</si>
  <si>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</si>
  <si>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</si>
  <si>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</si>
  <si>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</si>
  <si>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</si>
  <si>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</si>
  <si>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</si>
  <si>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</si>
  <si>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</si>
  <si>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</si>
  <si>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</si>
  <si>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</si>
  <si>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</si>
  <si>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</si>
  <si>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</si>
  <si>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</si>
  <si>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</si>
  <si>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</si>
  <si>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</si>
  <si>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</si>
  <si>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</si>
  <si>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</si>
  <si>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</si>
  <si>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</si>
  <si>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</si>
  <si>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</si>
  <si>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</si>
  <si>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</si>
  <si>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</si>
  <si>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</si>
  <si>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</si>
  <si>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</si>
  <si>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</si>
  <si>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</si>
  <si>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</si>
  <si>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</si>
  <si>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</si>
  <si>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</si>
  <si>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</si>
  <si>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</si>
  <si>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</si>
  <si>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</si>
  <si>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</si>
  <si>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</si>
  <si>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</si>
  <si>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</si>
  <si>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</si>
  <si>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</si>
  <si>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</si>
  <si>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</si>
  <si>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</si>
  <si>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</si>
  <si>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</si>
  <si>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</si>
  <si>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</si>
  <si>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</si>
  <si>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</si>
  <si>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</si>
  <si>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</si>
  <si>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</si>
  <si>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</si>
  <si>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</si>
  <si>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</si>
  <si>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</si>
  <si>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</si>
  <si>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</si>
  <si>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</si>
  <si>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</si>
  <si>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</si>
  <si>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</si>
  <si>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</si>
  <si>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</si>
  <si>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</si>
  <si>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</si>
  <si>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</si>
  <si>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</si>
  <si>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</si>
  <si>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</si>
  <si>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</si>
  <si>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</si>
  <si>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</si>
  <si>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</si>
  <si>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</si>
  <si>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</si>
  <si>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</si>
  <si>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</si>
  <si>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</si>
  <si>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</si>
  <si>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</si>
  <si>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</si>
  <si>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</si>
  <si>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</si>
  <si>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</si>
  <si>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</si>
  <si>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</si>
  <si>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</si>
  <si>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</si>
  <si>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</si>
  <si>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</si>
  <si>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</si>
  <si>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</si>
  <si>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</si>
  <si>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</si>
  <si>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</si>
  <si>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</si>
  <si>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</si>
  <si>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</si>
  <si>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</si>
  <si>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</si>
  <si>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</si>
  <si>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</si>
  <si>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</si>
  <si>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</si>
  <si>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</si>
  <si>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</si>
  <si>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</si>
  <si>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</si>
  <si>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</si>
  <si>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</si>
  <si>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</si>
  <si>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</si>
  <si>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</si>
  <si>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</si>
  <si>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</si>
  <si>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</si>
  <si>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</si>
  <si>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</si>
  <si>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</si>
  <si>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</si>
  <si>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</si>
  <si>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</si>
  <si>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</si>
  <si>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</si>
  <si>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</si>
  <si>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</si>
  <si>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</si>
  <si>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</si>
  <si>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</si>
  <si>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</si>
  <si>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</si>
  <si>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</si>
  <si>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</si>
  <si>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</si>
  <si>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</si>
  <si>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</si>
  <si>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</si>
  <si>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</si>
  <si>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</si>
  <si>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</si>
  <si>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</si>
  <si>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</si>
  <si>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</si>
  <si>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</si>
  <si>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</si>
  <si>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</si>
  <si>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</si>
  <si>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</si>
  <si>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</si>
  <si>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</si>
  <si>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</si>
  <si>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</si>
  <si>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</si>
  <si>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</si>
  <si>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</si>
  <si>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</si>
  <si>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</si>
  <si>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</si>
  <si>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</si>
  <si>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</si>
  <si>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</si>
  <si>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</si>
  <si>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</si>
  <si>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</si>
  <si>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</si>
  <si>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</si>
  <si>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</si>
  <si>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</si>
  <si>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</si>
  <si>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</si>
  <si>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</si>
  <si>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</si>
  <si>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</si>
  <si>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</si>
  <si>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</si>
  <si>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</si>
  <si>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</si>
  <si>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</si>
  <si>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</si>
  <si>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</si>
  <si>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</si>
  <si>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</si>
  <si>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</si>
  <si>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</si>
  <si>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</si>
  <si>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</si>
  <si>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</si>
  <si>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</si>
  <si>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</si>
  <si>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</si>
  <si>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</si>
  <si>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</si>
  <si>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</si>
  <si>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</si>
  <si>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</si>
  <si>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</si>
  <si>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</si>
  <si>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</si>
  <si>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</si>
  <si>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</si>
  <si>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</si>
  <si>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</si>
  <si>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</si>
  <si>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</si>
  <si>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</si>
  <si>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</si>
  <si>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</si>
  <si>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</si>
  <si>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</si>
  <si>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</si>
  <si>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</si>
  <si>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</si>
  <si>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</si>
  <si>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</si>
  <si>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</si>
  <si>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</si>
  <si>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</si>
  <si>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</si>
  <si>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</si>
  <si>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</si>
  <si>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</si>
  <si>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</si>
  <si>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</si>
  <si>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</si>
  <si>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</si>
  <si>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</si>
  <si>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</si>
  <si>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</si>
  <si>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</si>
  <si>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</si>
  <si>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</si>
  <si>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</si>
  <si>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</si>
  <si>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</si>
  <si>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</si>
  <si>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</si>
  <si>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</si>
  <si>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</si>
  <si>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</si>
  <si>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</si>
  <si>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</si>
  <si>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</si>
  <si>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</si>
  <si>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</si>
  <si>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</si>
  <si>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</si>
  <si>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</si>
  <si>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</si>
  <si>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</si>
  <si>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</si>
  <si>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</si>
  <si>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</si>
  <si>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</si>
  <si>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</si>
  <si>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</si>
  <si>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</si>
  <si>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</si>
  <si>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</si>
  <si>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</si>
  <si>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</si>
  <si>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</si>
  <si>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</si>
  <si>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</si>
  <si>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</si>
  <si>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</si>
  <si>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</si>
  <si>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</si>
  <si>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</si>
  <si>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COMUNIDAD VALENCIANA</t>
  </si>
  <si>
    <t>Provincias</t>
  </si>
  <si>
    <t>VALENCIA</t>
  </si>
  <si>
    <t>Resumenes por Partidos Judiciales</t>
  </si>
  <si>
    <t>GANDIA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</si>
</sst>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xoZLLOoOExTLA0wUG44CqBtnf+bMktNp4pkg0njUtsAPEVM7YTQdLTlBFpvN5ajSusIe25UiuHGqbHrkGWWXA==" saltValue="BUExaWEnOAoghoNPCLmH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5.760124308050889</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92</v>
      </c>
      <c r="D10" s="225">
        <f>IF(ISNUMBER(Datos!I10),Datos!I10," - ")</f>
        <v>92</v>
      </c>
      <c r="E10" s="226">
        <f>IF(ISNUMBER(Datos!J10),Datos!J10," - ")</f>
        <v>93</v>
      </c>
      <c r="F10" s="226">
        <f>IF(ISNUMBER(Datos!K10),Datos!K10," - ")</f>
        <v>108</v>
      </c>
      <c r="G10" s="1034" t="str">
        <f>IF(Datos!E10&lt;&gt;"",Datos!E10,Datos!D10)</f>
        <v>37</v>
      </c>
      <c r="H10" s="227">
        <f>IF(ISNUMBER(Datos!L10),Datos!L10," - ")</f>
        <v>77</v>
      </c>
      <c r="I10" s="1044" t="str">
        <f>IF(ISNUMBER(Datos!AS10/Datos!BM10),Datos!AS10/Datos!BM10," - ")</f>
        <v xml:space="preserve"> - </v>
      </c>
      <c r="J10" s="1045">
        <f>IF(ISNUMBER(Datos!BY10/Datos!CN10),Datos!BY10/Datos!CN10," - ")</f>
        <v>0</v>
      </c>
      <c r="K10" s="230">
        <f t="shared" ref="K10:K12" si="1">IF(ISNUMBER((E10-F10)/C10),(E10-F10)/C10," - ")</f>
        <v>-0.16304347826086957</v>
      </c>
      <c r="L10" s="1025">
        <f>IF(ISNUMBER(NºAsuntos!I10/NºAsuntos!G10),(NºAsuntos!I10/NºAsuntos!G10)*11," - ")</f>
        <v>7.8425925925925917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92</v>
      </c>
      <c r="D13" s="1049">
        <f>SUBTOTAL(9,D9:D12)</f>
        <v>92</v>
      </c>
      <c r="E13" s="1050">
        <f>SUBTOTAL(9,E9:E12)</f>
        <v>93</v>
      </c>
      <c r="F13" s="1051">
        <f>SUBTOTAL(9,F9:F12)</f>
        <v>108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3</v>
      </c>
      <c r="B15" s="502" t="str">
        <f>Datos!A15</f>
        <v xml:space="preserve">Jdos. Instrucción                               </v>
      </c>
      <c r="C15" s="225">
        <f t="shared" ref="C15:C17" si="2">IF(ISNUMBER(H15-E15+F15),H15-E15+F15," - ")</f>
        <v>2106</v>
      </c>
      <c r="D15" s="225">
        <f>IF(ISNUMBER(IF(D_I="SI",Datos!I15,Datos!I15+Datos!AC15)),IF(D_I="SI",Datos!I15,Datos!I15+Datos!AC15)," - ")</f>
        <v>2012</v>
      </c>
      <c r="E15" s="226">
        <f>IF(ISNUMBER(IF(D_I="SI",Datos!J15,Datos!J15+Datos!AD15)),IF(D_I="SI",Datos!J15,Datos!J15+Datos!AD15)," - ")</f>
        <v>9305</v>
      </c>
      <c r="F15" s="226">
        <f>IF(ISNUMBER(IF(D_I="SI",Datos!K15,Datos!K15+Datos!AE15)),IF(D_I="SI",Datos!K15,Datos!K15+Datos!AE15)," - ")</f>
        <v>9165</v>
      </c>
      <c r="G15" s="1034" t="str">
        <f>IF(Datos!E15&lt;&gt;"",Datos!E15,Datos!D15)</f>
        <v>03</v>
      </c>
      <c r="H15" s="227">
        <f>IF(ISNUMBER(IF(D_I="SI",Datos!L15,Datos!L15+Datos!AF15)),IF(D_I="SI",Datos!L15,Datos!L15+Datos!AF15)," - ")</f>
        <v>2246</v>
      </c>
      <c r="I15" s="1044" t="str">
        <f>IF(ISNUMBER(Datos!AS15/Datos!BM15),Datos!AS15/Datos!BM15," - ")</f>
        <v xml:space="preserve"> - </v>
      </c>
      <c r="J15" s="1045">
        <f>IF(ISNUMBER(Datos!BY15/Datos!CN15),Datos!BY15/Datos!CN15," - ")</f>
        <v>0</v>
      </c>
      <c r="K15" s="230">
        <f t="shared" ref="K15:K17" si="3">IF(ISNUMBER((E15-F15)/C15),(E15-F15)/C15," - ")</f>
        <v>6.6476733143399816E-2</v>
      </c>
      <c r="L15" s="1025">
        <f>IF(ISNUMBER(NºAsuntos!I15/NºAsuntos!G15),(NºAsuntos!I15/NºAsuntos!G15)*11," - ")</f>
        <v>2.6956901254773595</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109</v>
      </c>
      <c r="D17" s="225">
        <f>IF(ISNUMBER(IF(D_I="SI",Datos!I17,Datos!I17+Datos!AC17)),IF(D_I="SI",Datos!I17,Datos!I17+Datos!AC17)," - ")</f>
        <v>109</v>
      </c>
      <c r="E17" s="226">
        <f>IF(ISNUMBER(IF(D_I="SI",Datos!J17,Datos!J17+Datos!AD17)),IF(D_I="SI",Datos!J17,Datos!J17+Datos!AD17)," - ")</f>
        <v>940</v>
      </c>
      <c r="F17" s="226">
        <f>IF(ISNUMBER(IF(D_I="SI",Datos!K17,Datos!K17+Datos!AE17)),IF(D_I="SI",Datos!K17,Datos!K17+Datos!AE17)," - ")</f>
        <v>931</v>
      </c>
      <c r="G17" s="1034" t="str">
        <f>IF(Datos!E17&lt;&gt;"",Datos!E17,Datos!D17)</f>
        <v>37</v>
      </c>
      <c r="H17" s="227">
        <f>IF(ISNUMBER(IF(D_I="SI",Datos!L17,Datos!L17+Datos!AF17)),IF(D_I="SI",Datos!L17,Datos!L17+Datos!AF17)," - ")</f>
        <v>118</v>
      </c>
      <c r="I17" s="1044" t="str">
        <f>IF(ISNUMBER(Datos!AS17/Datos!BM17),Datos!AS17/Datos!BM17," - ")</f>
        <v xml:space="preserve"> - </v>
      </c>
      <c r="J17" s="1045" t="str">
        <f>IF(ISNUMBER((Datos!BY17+Datos!BZ17)/Datos!CN17),(Datos!BY17+Datos!BZ17)/Datos!CN17," - ")</f>
        <v xml:space="preserve"> - </v>
      </c>
      <c r="K17" s="230">
        <f t="shared" si="3"/>
        <v>8.2568807339449546E-2</v>
      </c>
      <c r="L17" s="1025">
        <f>IF(ISNUMBER(NºAsuntos!I17/NºAsuntos!G17),(NºAsuntos!I17/NºAsuntos!G17)*11," - ")</f>
        <v>1.3941997851772288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2215</v>
      </c>
      <c r="D18" s="1049">
        <f>SUBTOTAL(9,D15:D17)</f>
        <v>2121</v>
      </c>
      <c r="E18" s="1050">
        <f>SUBTOTAL(9,E15:E17)</f>
        <v>10245</v>
      </c>
      <c r="F18" s="1050">
        <f>SUBTOTAL(9,F15:F17)</f>
        <v>10096</v>
      </c>
      <c r="G18" s="1052" t="str">
        <f ca="1">INDIRECT(CONCATENATE("G",ROW()-1))</f>
        <v>37</v>
      </c>
      <c r="H18" s="1053">
        <f ca="1">SUMIF(G$14:G17,G18,H$14:H17)</f>
        <v>118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2307</v>
      </c>
      <c r="D19" s="1071">
        <f>SUBTOTAL(9,D9:D18)</f>
        <v>2213</v>
      </c>
      <c r="E19" s="1072">
        <f>SUBTOTAL(9,E9:E18)</f>
        <v>10338</v>
      </c>
      <c r="F19" s="1072">
        <f>SUBTOTAL(9,F9:F18)</f>
        <v>10204</v>
      </c>
      <c r="G19" s="1073"/>
      <c r="H19" s="1074">
        <f ca="1">SUMIF(B9:B18,"TOTAL",H9:H18)</f>
        <v>118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1RfyWgUI5OE7mHkQPw9w9oFG3aHxcOxcrurzVr5cf67W14Ij5vxfEOjq52Iad5sH1DhzsM1EhYNkVVvnO1aJAQ==" saltValue="+7uj9EA2A0iXGvVhZGwhb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Cxv83tE5WiEPM7Yr6PLx8YEAtPhHXV0UStgx99hQtd7XaoqgQcLEXIHGZYD5tBTFRw3ZtoAqkqVTPqBAIJHMQ==" saltValue="dAqgV71AvMek+wyoSDLW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v>4104</v>
      </c>
      <c r="J9" s="181">
        <v>10661</v>
      </c>
      <c r="K9" s="181">
        <v>9571</v>
      </c>
      <c r="L9" s="181">
        <v>5194</v>
      </c>
      <c r="M9" s="181">
        <v>1955</v>
      </c>
      <c r="N9" s="181">
        <v>4228</v>
      </c>
      <c r="O9" s="181">
        <v>5722</v>
      </c>
      <c r="P9" s="181">
        <v>2555</v>
      </c>
      <c r="Q9" s="181">
        <v>2855</v>
      </c>
      <c r="R9" s="181">
        <v>8064</v>
      </c>
      <c r="S9" s="181">
        <v>4369</v>
      </c>
      <c r="T9" s="181">
        <v>9469</v>
      </c>
      <c r="U9" s="181">
        <v>9632</v>
      </c>
      <c r="V9" s="181">
        <v>4104</v>
      </c>
      <c r="W9" s="181">
        <v>1649</v>
      </c>
      <c r="X9" s="188">
        <v>3899</v>
      </c>
      <c r="Y9" s="191">
        <v>181</v>
      </c>
      <c r="Z9" s="181">
        <v>743</v>
      </c>
      <c r="AA9" s="181">
        <v>726</v>
      </c>
      <c r="AB9" s="181">
        <v>198</v>
      </c>
      <c r="AC9" s="181">
        <v>0</v>
      </c>
      <c r="AD9" s="181">
        <v>0</v>
      </c>
      <c r="AE9" s="181">
        <v>0</v>
      </c>
      <c r="AF9" s="188">
        <v>0</v>
      </c>
      <c r="AG9" s="191">
        <v>236</v>
      </c>
      <c r="AH9" s="181">
        <v>779</v>
      </c>
      <c r="AI9" s="181">
        <v>873</v>
      </c>
      <c r="AJ9" s="192">
        <v>181</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4605</v>
      </c>
      <c r="AZ9" s="123">
        <f>IF(ISNUMBER(IF(J_V="SI",T9,T9+AH9)),IF(J_V="SI",T9,T9+AH9)," - ")</f>
        <v>10248</v>
      </c>
      <c r="BA9" s="124">
        <f>IF(ISNUMBER(IF(J_V="SI",U9,U9+AI9)),IF(J_V="SI",U9,U9+AI9)," - ")</f>
        <v>10505</v>
      </c>
      <c r="BB9" s="124">
        <f>IF(ISNUMBER(IF(J_V="SI",V9,V9+AJ9)),IF(J_V="SI",V9,V9+AJ9)," - ")</f>
        <v>4285</v>
      </c>
      <c r="BC9" s="125">
        <f>IF(ISNUMBER(X9),X9," - ")</f>
        <v>3899</v>
      </c>
      <c r="BD9" s="126">
        <f>IF(ISNUMBER(BA9/AZ9),BA9/AZ9," - ")</f>
        <v>1.0250780640124901</v>
      </c>
      <c r="BE9" s="127">
        <f>IF(ISNUMBER(BB9/BA9),BB9/BA9, " - ")</f>
        <v>0.40790099952403619</v>
      </c>
      <c r="BF9" s="127">
        <f>IF(ISNUMBER(BC9/BA9),BC9/BA9, " - ")</f>
        <v>0.37115659209900048</v>
      </c>
      <c r="BG9" s="196">
        <f>IF(ISNUMBER((AY9+AZ9)/BA9),(AY9+AZ9)/BA9," - ")</f>
        <v>1.4138981437410756</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92</v>
      </c>
      <c r="J10" s="181">
        <v>93</v>
      </c>
      <c r="K10" s="181">
        <v>108</v>
      </c>
      <c r="L10" s="181">
        <v>77</v>
      </c>
      <c r="M10" s="181">
        <v>65</v>
      </c>
      <c r="N10" s="181">
        <v>32</v>
      </c>
      <c r="O10" s="181">
        <v>30</v>
      </c>
      <c r="P10" s="181">
        <v>36</v>
      </c>
      <c r="Q10" s="181">
        <v>24</v>
      </c>
      <c r="R10" s="181">
        <v>82</v>
      </c>
      <c r="S10" s="181">
        <v>67</v>
      </c>
      <c r="T10" s="181">
        <v>107</v>
      </c>
      <c r="U10" s="181">
        <v>82</v>
      </c>
      <c r="V10" s="181">
        <v>92</v>
      </c>
      <c r="W10" s="181">
        <v>36</v>
      </c>
      <c r="X10" s="188">
        <v>37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67</v>
      </c>
      <c r="AZ10" s="129">
        <f t="shared" si="0"/>
        <v>107</v>
      </c>
      <c r="BA10" s="129">
        <f t="shared" si="0"/>
        <v>82</v>
      </c>
      <c r="BB10" s="129">
        <f t="shared" si="0"/>
        <v>92</v>
      </c>
      <c r="BC10" s="125">
        <f t="shared" si="0"/>
        <v>36</v>
      </c>
      <c r="BD10" s="126">
        <f>IF(ISNUMBER(BA10/AZ10),BA10/AZ10," - ")</f>
        <v>0.76635514018691586</v>
      </c>
      <c r="BE10" s="127">
        <f>IF(ISNUMBER(BB10/BA10),BB10/BA10, " - ")</f>
        <v>1.1219512195121952</v>
      </c>
      <c r="BF10" s="127">
        <f>IF(ISNUMBER(BC10/BA10),BC10/BA10, " - ")</f>
        <v>0.43902439024390244</v>
      </c>
      <c r="BG10" s="196">
        <f>IF(ISNUMBER((AY10+AZ10)/BA10),(AY10+AZ10)/BA10," - ")</f>
        <v>2.1219512195121952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0</v>
      </c>
      <c r="J12" s="183">
        <v>0</v>
      </c>
      <c r="K12" s="183">
        <v>0</v>
      </c>
      <c r="L12" s="183">
        <v>0</v>
      </c>
      <c r="M12" s="183">
        <v>0</v>
      </c>
      <c r="N12" s="183">
        <v>0</v>
      </c>
      <c r="O12" s="181">
        <v>5</v>
      </c>
      <c r="P12" s="183">
        <v>0</v>
      </c>
      <c r="Q12" s="183">
        <v>8</v>
      </c>
      <c r="R12" s="183">
        <v>271</v>
      </c>
      <c r="S12" s="183">
        <v>1</v>
      </c>
      <c r="T12" s="183">
        <v>0</v>
      </c>
      <c r="U12" s="183">
        <v>1</v>
      </c>
      <c r="V12" s="183">
        <v>0</v>
      </c>
      <c r="W12" s="183">
        <v>0</v>
      </c>
      <c r="X12" s="189">
        <v>4</v>
      </c>
      <c r="Y12" s="191">
        <v>0</v>
      </c>
      <c r="Z12" s="181">
        <v>0</v>
      </c>
      <c r="AA12" s="181">
        <v>0</v>
      </c>
      <c r="AB12" s="181">
        <v>0</v>
      </c>
      <c r="AC12" s="183">
        <v>0</v>
      </c>
      <c r="AD12" s="183">
        <v>0</v>
      </c>
      <c r="AE12" s="183">
        <v>0</v>
      </c>
      <c r="AF12" s="189">
        <v>0</v>
      </c>
      <c r="AG12" s="202">
        <v>0</v>
      </c>
      <c r="AH12" s="183">
        <v>0</v>
      </c>
      <c r="AI12" s="183">
        <v>0</v>
      </c>
      <c r="AJ12" s="203">
        <v>0</v>
      </c>
      <c r="AK12" s="182">
        <v>0</v>
      </c>
      <c r="AL12" s="183">
        <v>0</v>
      </c>
      <c r="AM12" s="183">
        <v>0</v>
      </c>
      <c r="AN12" s="189">
        <v>0</v>
      </c>
      <c r="AO12" s="259">
        <v>0</v>
      </c>
      <c r="AP12" s="155">
        <v>0</v>
      </c>
      <c r="AQ12" s="155">
        <v>0</v>
      </c>
      <c r="AR12" s="154">
        <v>0</v>
      </c>
      <c r="AS12" s="340" t="s">
        <v>802</v>
      </c>
      <c r="AT12" s="203"/>
      <c r="AU12" s="202"/>
      <c r="AV12" s="203"/>
      <c r="AW12" s="202"/>
      <c r="AX12" s="203"/>
      <c r="AY12" s="126">
        <f t="shared" si="1"/>
        <v>1</v>
      </c>
      <c r="AZ12" s="127">
        <f t="shared" si="1"/>
        <v>0</v>
      </c>
      <c r="BA12" s="127">
        <f t="shared" si="1"/>
        <v>1</v>
      </c>
      <c r="BB12" s="127">
        <f t="shared" si="1"/>
        <v>0</v>
      </c>
      <c r="BC12" s="125">
        <f>IF(ISNUMBER(X12),X12," - ")</f>
        <v>4</v>
      </c>
      <c r="BD12" s="126" t="str">
        <f t="shared" si="2"/>
        <v xml:space="preserve"> - </v>
      </c>
      <c r="BE12" s="127">
        <f t="shared" si="3"/>
        <v>0</v>
      </c>
      <c r="BF12" s="127">
        <f t="shared" si="4"/>
        <v>4</v>
      </c>
      <c r="BG12" s="196">
        <f t="shared" si="5"/>
        <v>1</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4196</v>
      </c>
      <c r="J13" s="184">
        <f t="shared" si="6"/>
        <v>10754</v>
      </c>
      <c r="K13" s="184">
        <f t="shared" si="6"/>
        <v>9679</v>
      </c>
      <c r="L13" s="184">
        <f t="shared" si="6"/>
        <v>5271</v>
      </c>
      <c r="M13" s="184">
        <f t="shared" si="6"/>
        <v>2020</v>
      </c>
      <c r="N13" s="184">
        <f t="shared" si="6"/>
        <v>4260</v>
      </c>
      <c r="O13" s="184">
        <f t="shared" si="6"/>
        <v>5757</v>
      </c>
      <c r="P13" s="184">
        <f t="shared" si="6"/>
        <v>2591</v>
      </c>
      <c r="Q13" s="184">
        <f t="shared" si="6"/>
        <v>2887</v>
      </c>
      <c r="R13" s="184">
        <f t="shared" si="6"/>
        <v>8417</v>
      </c>
      <c r="S13" s="184">
        <f t="shared" si="6"/>
        <v>4437</v>
      </c>
      <c r="T13" s="184">
        <f t="shared" si="6"/>
        <v>9576</v>
      </c>
      <c r="U13" s="184">
        <f t="shared" si="6"/>
        <v>9715</v>
      </c>
      <c r="V13" s="184">
        <f t="shared" si="6"/>
        <v>4196</v>
      </c>
      <c r="W13" s="184">
        <f t="shared" si="6"/>
        <v>1685</v>
      </c>
      <c r="X13" s="184">
        <f t="shared" si="6"/>
        <v>3940</v>
      </c>
      <c r="Y13" s="184">
        <f t="shared" si="6"/>
        <v>181</v>
      </c>
      <c r="Z13" s="184">
        <f t="shared" si="6"/>
        <v>743</v>
      </c>
      <c r="AA13" s="184">
        <f t="shared" si="6"/>
        <v>726</v>
      </c>
      <c r="AB13" s="184">
        <f t="shared" si="6"/>
        <v>198</v>
      </c>
      <c r="AC13" s="184">
        <f t="shared" si="6"/>
        <v>0</v>
      </c>
      <c r="AD13" s="184">
        <f t="shared" si="6"/>
        <v>0</v>
      </c>
      <c r="AE13" s="184">
        <f t="shared" si="6"/>
        <v>0</v>
      </c>
      <c r="AF13" s="184">
        <f>SUBTOTAL(9,AF9:AF12)</f>
        <v>0</v>
      </c>
      <c r="AG13" s="184">
        <f t="shared" ref="AG13:AT13" si="7">SUBTOTAL(9,AG8:AG12)</f>
        <v>236</v>
      </c>
      <c r="AH13" s="184">
        <f t="shared" si="7"/>
        <v>779</v>
      </c>
      <c r="AI13" s="184">
        <f t="shared" si="7"/>
        <v>873</v>
      </c>
      <c r="AJ13" s="184">
        <f t="shared" si="7"/>
        <v>181</v>
      </c>
      <c r="AK13" s="184">
        <f t="shared" si="7"/>
        <v>0</v>
      </c>
      <c r="AL13" s="184">
        <f t="shared" si="7"/>
        <v>0</v>
      </c>
      <c r="AM13" s="184">
        <f t="shared" si="7"/>
        <v>0</v>
      </c>
      <c r="AN13" s="184">
        <f t="shared" si="7"/>
        <v>0</v>
      </c>
      <c r="AO13" s="184">
        <f t="shared" si="7"/>
        <v>7</v>
      </c>
      <c r="AP13" s="184">
        <f t="shared" si="7"/>
        <v>7</v>
      </c>
      <c r="AQ13" s="184">
        <f t="shared" si="7"/>
        <v>7</v>
      </c>
      <c r="AR13" s="184">
        <f t="shared" si="7"/>
        <v>7</v>
      </c>
      <c r="AS13" s="184">
        <f t="shared" si="7"/>
        <v>0</v>
      </c>
      <c r="AT13" s="184">
        <f t="shared" si="7"/>
        <v>0</v>
      </c>
      <c r="AU13" s="204"/>
      <c r="AV13" s="132"/>
      <c r="AW13" s="204"/>
      <c r="AX13" s="132"/>
      <c r="AY13" s="184">
        <f>SUBTOTAL(9,AY8:AY12)</f>
        <v>4673</v>
      </c>
      <c r="AZ13" s="184">
        <f>SUBTOTAL(9,AZ8:AZ12)</f>
        <v>10355</v>
      </c>
      <c r="BA13" s="184">
        <f>SUBTOTAL(9,BA8:BA12)</f>
        <v>10588</v>
      </c>
      <c r="BB13" s="184">
        <f>SUBTOTAL(9,BB8:BB12)</f>
        <v>4377</v>
      </c>
      <c r="BC13" s="184">
        <f>SUBTOTAL(9,BC8:BC12)</f>
        <v>3939</v>
      </c>
      <c r="BD13" s="205">
        <f>IF(ISNUMBER(BA13/AZ13),BA13/AZ13," - ")</f>
        <v>1.0225012071463062</v>
      </c>
      <c r="BE13" s="206">
        <f>IF(ISNUMBER(BB13/BA13),BB13/BA13, " - ")</f>
        <v>0.41339251983377406</v>
      </c>
      <c r="BF13" s="206">
        <f>IF(ISNUMBER(BC13/BA13),BC13/BA13, " - ")</f>
        <v>0.3720249338874197</v>
      </c>
      <c r="BG13" s="207">
        <f>IF(ISNUMBER((AY13+AZ13)/BA13),(AY13+AZ13)/BA13," - ")</f>
        <v>1.4193426520589347</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2012</v>
      </c>
      <c r="J15" s="183">
        <v>9305</v>
      </c>
      <c r="K15" s="183">
        <v>9165</v>
      </c>
      <c r="L15" s="183">
        <v>2246</v>
      </c>
      <c r="M15" s="183">
        <v>1810</v>
      </c>
      <c r="N15" s="183">
        <v>4668</v>
      </c>
      <c r="O15" s="181">
        <v>414</v>
      </c>
      <c r="P15" s="183">
        <v>478</v>
      </c>
      <c r="Q15" s="183">
        <v>517</v>
      </c>
      <c r="R15" s="183">
        <v>294</v>
      </c>
      <c r="S15" s="183">
        <v>1386</v>
      </c>
      <c r="T15" s="183">
        <v>8607</v>
      </c>
      <c r="U15" s="183">
        <v>8265</v>
      </c>
      <c r="V15" s="183">
        <v>2012</v>
      </c>
      <c r="W15" s="183">
        <v>1498</v>
      </c>
      <c r="X15" s="189">
        <v>4379</v>
      </c>
      <c r="Y15" s="202">
        <v>0</v>
      </c>
      <c r="Z15" s="183">
        <v>0</v>
      </c>
      <c r="AA15" s="183">
        <v>0</v>
      </c>
      <c r="AB15" s="183">
        <v>0</v>
      </c>
      <c r="AC15" s="183">
        <v>0</v>
      </c>
      <c r="AD15" s="183">
        <v>3</v>
      </c>
      <c r="AE15" s="183">
        <v>3</v>
      </c>
      <c r="AF15" s="189">
        <v>0</v>
      </c>
      <c r="AG15" s="202">
        <v>0</v>
      </c>
      <c r="AH15" s="183">
        <v>0</v>
      </c>
      <c r="AI15" s="183">
        <v>0</v>
      </c>
      <c r="AJ15" s="203">
        <v>0</v>
      </c>
      <c r="AK15" s="182">
        <v>0</v>
      </c>
      <c r="AL15" s="183">
        <v>30</v>
      </c>
      <c r="AM15" s="183">
        <v>30</v>
      </c>
      <c r="AN15" s="189">
        <v>0</v>
      </c>
      <c r="AO15" s="259">
        <v>3</v>
      </c>
      <c r="AP15" s="155">
        <v>3</v>
      </c>
      <c r="AQ15" s="155">
        <v>3</v>
      </c>
      <c r="AR15" s="155">
        <v>3</v>
      </c>
      <c r="AS15" s="340" t="s">
        <v>527</v>
      </c>
      <c r="AT15" s="203" t="s">
        <v>326</v>
      </c>
      <c r="AU15" s="202"/>
      <c r="AV15" s="203"/>
      <c r="AW15" s="202"/>
      <c r="AX15" s="203"/>
      <c r="AY15" s="128">
        <f t="shared" ref="AY15:BB16" si="9">IF(ISNUMBER(IF(D_I="SI",S15,S15+AK15)),IF(D_I="SI",S15,S15+AK15)," - ")</f>
        <v>1386</v>
      </c>
      <c r="AZ15" s="129">
        <f t="shared" si="9"/>
        <v>8607</v>
      </c>
      <c r="BA15" s="129">
        <f t="shared" si="9"/>
        <v>8265</v>
      </c>
      <c r="BB15" s="129">
        <f t="shared" si="9"/>
        <v>2012</v>
      </c>
      <c r="BC15" s="125">
        <f>IF(ISNUMBER(W15),W15," - ")</f>
        <v>1498</v>
      </c>
      <c r="BD15" s="126">
        <f>IF(ISNUMBER(BA15/AZ15),BA15/AZ15," - ")</f>
        <v>0.96026490066225167</v>
      </c>
      <c r="BE15" s="127">
        <f>IF(ISNUMBER(BB15/BA15),BB15/BA15, " - ")</f>
        <v>0.24343617664851785</v>
      </c>
      <c r="BF15" s="127">
        <f>IF(ISNUMBER(BC15/BA15),BC15/BA15, " - ")</f>
        <v>0.18124621899576526</v>
      </c>
      <c r="BG15" s="196">
        <f t="shared" ref="BG15:BG16" si="10">IF(ISNUMBER((AY15+AZ15)/BA15),(AY15+AZ15)/BA15," - ")</f>
        <v>1.2090744101633393</v>
      </c>
      <c r="BH15" s="155">
        <v>3</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109</v>
      </c>
      <c r="J17" s="183">
        <v>940</v>
      </c>
      <c r="K17" s="183">
        <v>931</v>
      </c>
      <c r="L17" s="183">
        <v>118</v>
      </c>
      <c r="M17" s="183">
        <v>264</v>
      </c>
      <c r="N17" s="183">
        <v>718</v>
      </c>
      <c r="O17" s="183">
        <v>63</v>
      </c>
      <c r="P17" s="183">
        <v>54</v>
      </c>
      <c r="Q17" s="183">
        <v>61</v>
      </c>
      <c r="R17" s="183">
        <v>17</v>
      </c>
      <c r="S17" s="183">
        <v>92</v>
      </c>
      <c r="T17" s="183">
        <v>930</v>
      </c>
      <c r="U17" s="183">
        <v>914</v>
      </c>
      <c r="V17" s="183">
        <v>109</v>
      </c>
      <c r="W17" s="183">
        <v>238</v>
      </c>
      <c r="X17" s="189">
        <v>677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92</v>
      </c>
      <c r="AZ17" s="129">
        <f t="shared" si="14"/>
        <v>930</v>
      </c>
      <c r="BA17" s="129">
        <f t="shared" si="14"/>
        <v>914</v>
      </c>
      <c r="BB17" s="129">
        <f t="shared" si="14"/>
        <v>109</v>
      </c>
      <c r="BC17" s="125">
        <f>IF(ISNUMBER(W17),W17," - ")</f>
        <v>238</v>
      </c>
      <c r="BD17" s="126">
        <f>IF(ISNUMBER(BA17/AZ17),BA17/AZ17," - ")</f>
        <v>0.98279569892473118</v>
      </c>
      <c r="BE17" s="127">
        <f>IF(ISNUMBER(BB17/BA17),BB17/BA17, " - ")</f>
        <v>0.11925601750547046</v>
      </c>
      <c r="BF17" s="127">
        <f>IF(ISNUMBER(BC17/BA17),BC17/BA17, " - ")</f>
        <v>0.26039387308533918</v>
      </c>
      <c r="BG17" s="196">
        <f>IF(ISNUMBER((AY17+AZ17)/BA17),(AY17+AZ17)/BA17," - ")</f>
        <v>1.1181619256017505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2121</v>
      </c>
      <c r="J18" s="184">
        <f t="shared" si="15"/>
        <v>10245</v>
      </c>
      <c r="K18" s="184">
        <f t="shared" si="15"/>
        <v>10096</v>
      </c>
      <c r="L18" s="184">
        <f t="shared" si="15"/>
        <v>2364</v>
      </c>
      <c r="M18" s="184">
        <f t="shared" si="15"/>
        <v>2074</v>
      </c>
      <c r="N18" s="184">
        <f t="shared" si="15"/>
        <v>5386</v>
      </c>
      <c r="O18" s="184">
        <f t="shared" si="15"/>
        <v>477</v>
      </c>
      <c r="P18" s="184">
        <f t="shared" si="15"/>
        <v>532</v>
      </c>
      <c r="Q18" s="184">
        <f t="shared" si="15"/>
        <v>578</v>
      </c>
      <c r="R18" s="184">
        <f t="shared" si="15"/>
        <v>311</v>
      </c>
      <c r="S18" s="184">
        <f t="shared" si="15"/>
        <v>1478</v>
      </c>
      <c r="T18" s="184">
        <f t="shared" si="15"/>
        <v>9537</v>
      </c>
      <c r="U18" s="184">
        <f t="shared" si="15"/>
        <v>9179</v>
      </c>
      <c r="V18" s="184">
        <f t="shared" si="15"/>
        <v>2121</v>
      </c>
      <c r="W18" s="184">
        <f t="shared" si="15"/>
        <v>1736</v>
      </c>
      <c r="X18" s="184">
        <f t="shared" si="15"/>
        <v>5056</v>
      </c>
      <c r="Y18" s="184">
        <f t="shared" si="15"/>
        <v>0</v>
      </c>
      <c r="Z18" s="184">
        <f t="shared" si="15"/>
        <v>0</v>
      </c>
      <c r="AA18" s="184">
        <f t="shared" si="15"/>
        <v>0</v>
      </c>
      <c r="AB18" s="184">
        <f t="shared" si="15"/>
        <v>0</v>
      </c>
      <c r="AC18" s="184">
        <f t="shared" si="15"/>
        <v>0</v>
      </c>
      <c r="AD18" s="184">
        <f t="shared" si="15"/>
        <v>3</v>
      </c>
      <c r="AE18" s="184">
        <f t="shared" si="15"/>
        <v>3</v>
      </c>
      <c r="AF18" s="184">
        <f t="shared" si="15"/>
        <v>0</v>
      </c>
      <c r="AG18" s="184">
        <f t="shared" si="15"/>
        <v>0</v>
      </c>
      <c r="AH18" s="184">
        <f t="shared" si="15"/>
        <v>0</v>
      </c>
      <c r="AI18" s="184">
        <f t="shared" si="15"/>
        <v>0</v>
      </c>
      <c r="AJ18" s="184">
        <f t="shared" si="15"/>
        <v>0</v>
      </c>
      <c r="AK18" s="184">
        <f t="shared" si="15"/>
        <v>0</v>
      </c>
      <c r="AL18" s="184">
        <f t="shared" si="15"/>
        <v>30</v>
      </c>
      <c r="AM18" s="184">
        <f t="shared" si="15"/>
        <v>30</v>
      </c>
      <c r="AN18" s="184">
        <f t="shared" si="15"/>
        <v>0</v>
      </c>
      <c r="AO18" s="184">
        <f t="shared" si="15"/>
        <v>4</v>
      </c>
      <c r="AP18" s="184">
        <f t="shared" si="15"/>
        <v>4</v>
      </c>
      <c r="AQ18" s="184">
        <f t="shared" si="15"/>
        <v>4</v>
      </c>
      <c r="AR18" s="184">
        <f t="shared" si="15"/>
        <v>4</v>
      </c>
      <c r="AS18" s="184">
        <f t="shared" si="15"/>
        <v>0</v>
      </c>
      <c r="AT18" s="184">
        <f t="shared" si="15"/>
        <v>0</v>
      </c>
      <c r="AU18" s="204"/>
      <c r="AV18" s="132"/>
      <c r="AW18" s="204"/>
      <c r="AX18" s="132"/>
      <c r="AY18" s="184">
        <f>SUBTOTAL(9,AY14:AY17)</f>
        <v>1478</v>
      </c>
      <c r="AZ18" s="184">
        <f>SUBTOTAL(9,AZ14:AZ17)</f>
        <v>9537</v>
      </c>
      <c r="BA18" s="184">
        <f>SUBTOTAL(9,BA14:BA17)</f>
        <v>9179</v>
      </c>
      <c r="BB18" s="184">
        <f>SUBTOTAL(9,BB14:BB17)</f>
        <v>2121</v>
      </c>
      <c r="BC18" s="184">
        <f>SUBTOTAL(9,BC14:BC17)</f>
        <v>1736</v>
      </c>
      <c r="BD18" s="205">
        <f>IF(ISNUMBER(BA18/AZ18),BA18/AZ18," - ")</f>
        <v>0.96246199014365108</v>
      </c>
      <c r="BE18" s="206">
        <f>IF(ISNUMBER(BB18/BA18),BB18/BA18, " - ")</f>
        <v>0.23107092275847041</v>
      </c>
      <c r="BF18" s="206">
        <f>IF(ISNUMBER(BC18/BA18),BC18/BA18, " - ")</f>
        <v>0.18912735592112431</v>
      </c>
      <c r="BG18" s="207">
        <f>IF(ISNUMBER((AY18+AZ18)/BA18),(AY18+AZ18)/BA18," - ")</f>
        <v>1.2000217888658895</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6317</v>
      </c>
      <c r="J19" s="134">
        <f t="shared" si="18"/>
        <v>20999</v>
      </c>
      <c r="K19" s="134">
        <f t="shared" si="18"/>
        <v>19775</v>
      </c>
      <c r="L19" s="134">
        <f t="shared" si="18"/>
        <v>7635</v>
      </c>
      <c r="M19" s="134">
        <f t="shared" si="18"/>
        <v>4094</v>
      </c>
      <c r="N19" s="134">
        <f t="shared" si="18"/>
        <v>9646</v>
      </c>
      <c r="O19" s="134">
        <f t="shared" si="18"/>
        <v>6234</v>
      </c>
      <c r="P19" s="134">
        <f t="shared" si="18"/>
        <v>3123</v>
      </c>
      <c r="Q19" s="134">
        <f t="shared" si="18"/>
        <v>3465</v>
      </c>
      <c r="R19" s="134">
        <f t="shared" si="18"/>
        <v>8728</v>
      </c>
      <c r="S19" s="134">
        <f t="shared" si="18"/>
        <v>5915</v>
      </c>
      <c r="T19" s="134">
        <f t="shared" si="18"/>
        <v>19113</v>
      </c>
      <c r="U19" s="134">
        <f t="shared" si="18"/>
        <v>18894</v>
      </c>
      <c r="V19" s="134">
        <f t="shared" si="18"/>
        <v>6317</v>
      </c>
      <c r="W19" s="134">
        <f t="shared" si="18"/>
        <v>3421</v>
      </c>
      <c r="X19" s="134">
        <f t="shared" si="18"/>
        <v>8996</v>
      </c>
      <c r="Y19" s="134">
        <f t="shared" si="18"/>
        <v>181</v>
      </c>
      <c r="Z19" s="134">
        <f t="shared" si="18"/>
        <v>743</v>
      </c>
      <c r="AA19" s="134">
        <f t="shared" si="18"/>
        <v>726</v>
      </c>
      <c r="AB19" s="134">
        <f t="shared" si="18"/>
        <v>198</v>
      </c>
      <c r="AC19" s="134">
        <f t="shared" si="18"/>
        <v>0</v>
      </c>
      <c r="AD19" s="134">
        <f t="shared" si="18"/>
        <v>3</v>
      </c>
      <c r="AE19" s="134">
        <f t="shared" si="18"/>
        <v>3</v>
      </c>
      <c r="AF19" s="134">
        <f t="shared" si="18"/>
        <v>0</v>
      </c>
      <c r="AG19" s="134">
        <f t="shared" si="18"/>
        <v>236</v>
      </c>
      <c r="AH19" s="134">
        <f t="shared" si="18"/>
        <v>779</v>
      </c>
      <c r="AI19" s="134">
        <f t="shared" si="18"/>
        <v>873</v>
      </c>
      <c r="AJ19" s="134">
        <f t="shared" si="18"/>
        <v>181</v>
      </c>
      <c r="AK19" s="134">
        <f t="shared" si="18"/>
        <v>0</v>
      </c>
      <c r="AL19" s="134">
        <f t="shared" si="18"/>
        <v>30</v>
      </c>
      <c r="AM19" s="134">
        <f t="shared" si="18"/>
        <v>30</v>
      </c>
      <c r="AN19" s="210">
        <f t="shared" si="18"/>
        <v>0</v>
      </c>
      <c r="AO19" s="211">
        <v>10</v>
      </c>
      <c r="AP19" s="211">
        <v>10</v>
      </c>
      <c r="AQ19" s="211">
        <v>10</v>
      </c>
      <c r="AR19" s="211">
        <v>10</v>
      </c>
      <c r="AS19" s="153">
        <f t="shared" si="18"/>
        <v>0</v>
      </c>
      <c r="AT19" s="153">
        <f t="shared" si="18"/>
        <v>0</v>
      </c>
      <c r="AU19" s="211"/>
      <c r="AV19" s="212"/>
      <c r="AW19" s="211"/>
      <c r="AX19" s="212"/>
      <c r="AY19" s="133">
        <f>SUBTOTAL(9,AY9:AY18)</f>
        <v>6151</v>
      </c>
      <c r="AZ19" s="134">
        <f>SUBTOTAL(9,AZ9:AZ18)</f>
        <v>19892</v>
      </c>
      <c r="BA19" s="134">
        <f>SUBTOTAL(9,BA9:BA18)</f>
        <v>19767</v>
      </c>
      <c r="BB19" s="134">
        <f>SUBTOTAL(9,BB9:BB18)</f>
        <v>6498</v>
      </c>
      <c r="BC19" s="135">
        <f>SUBTOTAL(9,BC9:BC18)</f>
        <v>5675</v>
      </c>
      <c r="BD19" s="213">
        <f>IF(ISNUMBER(BA19/AZ19),BA19/AZ19," - ")</f>
        <v>0.99371606676050672</v>
      </c>
      <c r="BE19" s="210">
        <f>IF(ISNUMBER(BB19/BA19),BB19/BA19, " - ")</f>
        <v>0.32872970101684623</v>
      </c>
      <c r="BF19" s="210">
        <f>IF(ISNUMBER(BC19/BA19),BC19/BA19, " - ")</f>
        <v>0.28709465270400164</v>
      </c>
      <c r="BG19" s="135">
        <f>IF(ISNUMBER((AY19+AZ19)/BA19),(AY19+AZ19)/BA19," - ")</f>
        <v>1.3174988617392625</v>
      </c>
      <c r="BH19" s="211">
        <f>SUBTOTAL(9,BH9:BH18)</f>
        <v>11</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0QyGdH2eGq0cBCBBx3DD+BpZn2RoHufz/eq3ifrtoS+aXT3Z85COadRg/m7uRR58K2pp/OUee02xqPnj9ymlA==" saltValue="pxT7PNvT9mihLZxIsQaKD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3lf2vxZMm6oeBlck8DWgQGOP8FmI1bczQTCeke1fT40/j/P8AhG8Ea5BkWwApDju0iWrd8dQIGav+33Kbslog==" saltValue="u7Myct8vaAso0Xw9lN3bl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GANDIA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743</v>
      </c>
      <c r="O9" s="334"/>
      <c r="P9" s="334"/>
      <c r="Q9" s="226">
        <f>IF(ISNUMBER(Datos!P9),Datos!P9,0)</f>
        <v>2555</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2855</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198</v>
      </c>
      <c r="AI9" s="334" t="str">
        <f>IF(ISNUMBER(Datos!CD9),Datos!CD9,"-")</f>
        <v>-</v>
      </c>
      <c r="AJ9" s="334" t="str">
        <f>IF(ISNUMBER(Datos!EN9),Datos!EN9," - ")</f>
        <v xml:space="preserve"> - </v>
      </c>
      <c r="AK9" s="334"/>
      <c r="AL9" s="479"/>
      <c r="AM9" s="335">
        <f>IF(ISNUMBER(Datos!R9),Datos!R9," - ")</f>
        <v>8064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1955</v>
      </c>
      <c r="BD9" s="229">
        <f>IF(ISNUMBER(Datos!N9),Datos!N9," - ")</f>
        <v>4228</v>
      </c>
      <c r="BE9" s="229" t="str">
        <f>IF(ISNUMBER(Datos!BW9),Datos!BW9," - ")</f>
        <v xml:space="preserve"> - </v>
      </c>
      <c r="BF9" s="228" t="str">
        <f>IF(ISNUMBER(Datos!BX9),Datos!BX9," - ")</f>
        <v xml:space="preserve"> - </v>
      </c>
      <c r="BG9" s="243">
        <f>IF(ISNUMBER(IF(J_V="SI",Datos!K9/Datos!J9,(Datos!K9+Datos!AA9)/(Datos!J9+Datos!Z9))),IF(J_V="SI",Datos!K9/Datos!J9,(Datos!K9+Datos!AA9)/(Datos!J9+Datos!Z9))," - ")</f>
        <v>0.9029287969133637</v>
      </c>
      <c r="BH9" s="260">
        <f>IF(ISNUMBER(((IF(J_V="SI",Datos!L9/Datos!K9,(Datos!L9+Datos!AB9)/(Datos!K9+Datos!AA9)))*11)/factor_trimestre),((IF(J_V="SI",Datos!L9/Datos!K9,(Datos!L9+Datos!AB9)/(Datos!K9+Datos!AA9)))*11)/factor_trimestre," - ")</f>
        <v>5.760124308050889</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-3.5868005738880916E-2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92</v>
      </c>
      <c r="G10" s="333">
        <f>IF(ISNUMBER(Datos!I10),Datos!I10," - ")</f>
        <v>92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108</v>
      </c>
      <c r="AC10" s="226">
        <f>IF(ISNUMBER(Datos!Q10),Datos!Q10," - ")</f>
        <v>24</v>
      </c>
      <c r="AD10" s="334"/>
      <c r="AE10" s="484"/>
      <c r="AF10" s="332">
        <f>IF(ISNUMBER(Datos!L10),Datos!L10,"-")</f>
        <v>77</v>
      </c>
      <c r="AG10" s="334"/>
      <c r="AH10" s="334"/>
      <c r="AI10" s="334"/>
      <c r="AJ10" s="334"/>
      <c r="AK10" s="334"/>
      <c r="AL10" s="479"/>
      <c r="AM10" s="335">
        <f>IF(ISNUMBER(Datos!R10),Datos!R10," - ")</f>
        <v>82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65</v>
      </c>
      <c r="BD10" s="229">
        <f>IF(ISNUMBER(Datos!N10),Datos!N10," - ")</f>
        <v>32</v>
      </c>
      <c r="BE10" s="229" t="str">
        <f>IF(ISNUMBER(Datos!BW10),Datos!BW10," - ")</f>
        <v xml:space="preserve"> - </v>
      </c>
      <c r="BF10" s="228" t="str">
        <f>IF(ISNUMBER(Datos!BX10),Datos!BX10," - ")</f>
        <v xml:space="preserve"> - </v>
      </c>
      <c r="BG10" s="243">
        <f>IF(ISNUMBER(Datos!K10/Datos!J10),Datos!K10/Datos!J10," - ")</f>
        <v>1.1612903225806452</v>
      </c>
      <c r="BH10" s="260">
        <f>IF(ISNUMBER(((Datos!L10/Datos!K10)*11)/factor_trimestre),((Datos!L10/Datos!K10)*11)/factor_trimestre," - ")</f>
        <v>7.8425925925925917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0.17142857142857143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0</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0</v>
      </c>
      <c r="AI12" s="334" t="str">
        <f>IF(ISNUMBER(Datos!CD12),Datos!CD12,"-")</f>
        <v>-</v>
      </c>
      <c r="AJ12" s="334" t="str">
        <f>IF(ISNUMBER(Datos!EN12),Datos!EN12," - ")</f>
        <v xml:space="preserve"> - </v>
      </c>
      <c r="AK12" s="334"/>
      <c r="AL12" s="479"/>
      <c r="AM12" s="335">
        <f>IF(ISNUMBER(Datos!R12),Datos!R12," - ")</f>
        <v>271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0</v>
      </c>
      <c r="BD12" s="229">
        <f>IF(ISNUMBER(Datos!N12),Datos!N12," - ")</f>
        <v>0</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-2.8673835125448029E-2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7</v>
      </c>
      <c r="F13" s="898">
        <f t="shared" si="0"/>
        <v>92</v>
      </c>
      <c r="G13" s="898">
        <f t="shared" si="0"/>
        <v>92</v>
      </c>
      <c r="H13" s="899">
        <f t="shared" si="0"/>
        <v>0</v>
      </c>
      <c r="I13" s="898">
        <f t="shared" si="0"/>
        <v>0</v>
      </c>
      <c r="J13" s="867">
        <f t="shared" si="0"/>
        <v>0</v>
      </c>
      <c r="K13" s="867">
        <f t="shared" si="0"/>
        <v>0</v>
      </c>
      <c r="L13" s="899">
        <f t="shared" si="0"/>
        <v>0</v>
      </c>
      <c r="M13" s="899">
        <f t="shared" si="0"/>
        <v>0</v>
      </c>
      <c r="N13" s="899">
        <f t="shared" si="0"/>
        <v>743</v>
      </c>
      <c r="O13" s="900">
        <f t="shared" si="0"/>
        <v>0</v>
      </c>
      <c r="P13" s="900">
        <f t="shared" si="0"/>
        <v>0</v>
      </c>
      <c r="Q13" s="899">
        <f t="shared" si="0"/>
        <v>2591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108</v>
      </c>
      <c r="AC13" s="899">
        <f t="shared" si="1"/>
        <v>2887</v>
      </c>
      <c r="AD13" s="899">
        <f t="shared" si="1"/>
        <v>0</v>
      </c>
      <c r="AE13" s="899">
        <f t="shared" si="1"/>
        <v>0</v>
      </c>
      <c r="AF13" s="899">
        <f t="shared" si="1"/>
        <v>77</v>
      </c>
      <c r="AG13" s="899">
        <f t="shared" si="1"/>
        <v>0</v>
      </c>
      <c r="AH13" s="899">
        <f t="shared" si="1"/>
        <v>198</v>
      </c>
      <c r="AI13" s="899">
        <f t="shared" si="1"/>
        <v>0</v>
      </c>
      <c r="AJ13" s="899">
        <f t="shared" si="1"/>
        <v>0</v>
      </c>
      <c r="AK13" s="899">
        <f t="shared" si="1"/>
        <v>0</v>
      </c>
      <c r="AL13" s="899">
        <f t="shared" si="1"/>
        <v>0</v>
      </c>
      <c r="AM13" s="899">
        <f t="shared" si="1"/>
        <v>8417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2020</v>
      </c>
      <c r="BD13" s="899">
        <f t="shared" si="1"/>
        <v>4260</v>
      </c>
      <c r="BE13" s="899">
        <f t="shared" si="1"/>
        <v>0</v>
      </c>
      <c r="BF13" s="899">
        <f t="shared" si="1"/>
        <v>0</v>
      </c>
      <c r="BG13" s="899">
        <f>IF(ISNUMBER(Datos!K13/Datos!J13),Datos!K13/Datos!J13," - ")</f>
        <v>0.90003719546215366</v>
      </c>
      <c r="BH13" s="903">
        <f>IF(ISNUMBER(((Datos!L13/Datos!K13)*11)/factor_trimestre),((Datos!L13/Datos!K13)*11)/factor_trimestre," - ")</f>
        <v>5.9903915693770013</v>
      </c>
      <c r="BI13" s="899">
        <f>IF(ISNUMBER('Resol  Asuntos'!D13/NºAsuntos!G13),'Resol  Asuntos'!D13/NºAsuntos!G13," - ")</f>
        <v>0.19413743392599711</v>
      </c>
      <c r="BJ13" s="899" t="str">
        <f>IF(ISNUMBER(Datos!CI13/Datos!CJ13),Datos!CI13/Datos!CJ13," - ")</f>
        <v xml:space="preserve"> - </v>
      </c>
      <c r="BK13" s="899">
        <f>SUBTOTAL(9,BK8:BK12)</f>
        <v>0</v>
      </c>
      <c r="BL13" s="899">
        <f>IF(ISNUMBER((I13-AB13+L13)/(F13)),(I13-AB13+L13)/(F13)," - ")</f>
        <v>-1.173913043478261</v>
      </c>
      <c r="BM13" s="904">
        <f>SUBTOTAL(9,BM9:BM12)</f>
        <v>0.1068867305642425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3</v>
      </c>
      <c r="B15" s="594" t="s">
        <v>396</v>
      </c>
      <c r="C15" s="600" t="str">
        <f>Datos!A15</f>
        <v xml:space="preserve">Jdos. Instrucción                               </v>
      </c>
      <c r="D15" s="601"/>
      <c r="E15" s="1165">
        <f>IF(ISNUMBER(Datos!AQ15),Datos!AQ15," - ")</f>
        <v>3</v>
      </c>
      <c r="F15" s="595">
        <f>IF(ISNUMBER(AF15+AB15-Datos!J15-L15),AF15+AB15-Datos!J15-L15," - ")</f>
        <v>2106</v>
      </c>
      <c r="G15" s="598">
        <f>IF(ISNUMBER(IF(D_I="SI",Datos!I15,Datos!I15+Datos!AC15)),IF(D_I="SI",Datos!I15,Datos!I15+Datos!AC15)," - ")</f>
        <v>2012</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478</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9165</v>
      </c>
      <c r="AC15" s="226">
        <f>IF(ISNUMBER(Datos!Q15),Datos!Q15," - ")</f>
        <v>517</v>
      </c>
      <c r="AD15" s="334"/>
      <c r="AE15" s="484"/>
      <c r="AF15" s="596">
        <f>IF(ISNUMBER(IF(D_I="SI",Datos!L15,Datos!L15+Datos!AF15)),IF(D_I="SI",Datos!L15,Datos!L15+Datos!AF15)," - ")</f>
        <v>2246</v>
      </c>
      <c r="AG15" s="334"/>
      <c r="AH15" s="334"/>
      <c r="AI15" s="334"/>
      <c r="AJ15" s="334"/>
      <c r="AK15" s="334"/>
      <c r="AL15" s="479"/>
      <c r="AM15" s="335">
        <f>IF(ISNUMBER(Datos!R15),Datos!R15," - ")</f>
        <v>294</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1810</v>
      </c>
      <c r="BD15" s="229">
        <f>IF(ISNUMBER(Datos!N15),Datos!N15," - ")</f>
        <v>4668</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0.98495432563138097</v>
      </c>
      <c r="BH15" s="260">
        <f>IF(ISNUMBER(((IF(D_I="SI",Datos!L15/Datos!K15,(Datos!L15+Datos!AF15)/(Datos!K15+Datos!AE15)))*11)/factor_trimestre),((IF(D_I="SI",Datos!L15/Datos!K15,(Datos!L15+Datos!AF15)/(Datos!K15+Datos!AE15)))*11)/factor_trimestre," - ")</f>
        <v>2.6956901254773595</v>
      </c>
      <c r="BI15" s="243">
        <f>IF(ISNUMBER('Resol  Asuntos'!D15/NºAsuntos!G15),'Resol  Asuntos'!D15/NºAsuntos!G15," - ")</f>
        <v>0.19749045280960176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109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54</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931</v>
      </c>
      <c r="AC17" s="226">
        <f>IF(ISNUMBER(Datos!Q17),Datos!Q17," - ")</f>
        <v>61</v>
      </c>
      <c r="AD17" s="334"/>
      <c r="AE17" s="484"/>
      <c r="AF17" s="332">
        <f>IF(ISNUMBER(Datos!L17),Datos!L17,"-")</f>
        <v>118</v>
      </c>
      <c r="AG17" s="334"/>
      <c r="AH17" s="334"/>
      <c r="AI17" s="334"/>
      <c r="AJ17" s="334"/>
      <c r="AK17" s="334"/>
      <c r="AL17" s="479"/>
      <c r="AM17" s="335">
        <f>IF(ISNUMBER(Datos!R17),Datos!R17," - ")</f>
        <v>17</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264</v>
      </c>
      <c r="BD17" s="229">
        <f>IF(ISNUMBER(Datos!N17),Datos!N17," - ")</f>
        <v>718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0.99042553191489358</v>
      </c>
      <c r="BH17" s="260">
        <f>IF(ISNUMBER(((IF(D_I="SI",Datos!L17/Datos!K17,(Datos!L17+Datos!AF17)/(Datos!K17+Datos!AE17)))*11)/factor_trimestre),((IF(D_I="SI",Datos!L17/Datos!K17,(Datos!L17+Datos!AF17)/(Datos!K17+Datos!AE17)))*11)/factor_trimestre," - ")</f>
        <v>1.3941997851772288</v>
      </c>
      <c r="BI17" s="243">
        <f>IF(ISNUMBER('Resol  Asuntos'!D17/NºAsuntos!G17),'Resol  Asuntos'!D17/NºAsuntos!G17," - ")</f>
        <v>0.28356605800214824</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4</v>
      </c>
      <c r="F18" s="898">
        <f>SUBTOTAL(9,F15:F17)</f>
        <v>2106</v>
      </c>
      <c r="G18" s="898">
        <f>SUBTOTAL(9,G15:G17)</f>
        <v>2121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532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10096</v>
      </c>
      <c r="AC18" s="899">
        <f t="shared" si="4"/>
        <v>578</v>
      </c>
      <c r="AD18" s="899">
        <f t="shared" si="4"/>
        <v>0</v>
      </c>
      <c r="AE18" s="899">
        <f t="shared" si="4"/>
        <v>0</v>
      </c>
      <c r="AF18" s="899">
        <f t="shared" si="4"/>
        <v>2364</v>
      </c>
      <c r="AG18" s="899">
        <f t="shared" si="4"/>
        <v>0</v>
      </c>
      <c r="AH18" s="899">
        <f t="shared" si="4"/>
        <v>0</v>
      </c>
      <c r="AI18" s="899">
        <f t="shared" si="4"/>
        <v>0</v>
      </c>
      <c r="AJ18" s="899">
        <f t="shared" si="4"/>
        <v>0</v>
      </c>
      <c r="AK18" s="899">
        <f t="shared" si="4"/>
        <v>0</v>
      </c>
      <c r="AL18" s="899">
        <f t="shared" si="4"/>
        <v>0</v>
      </c>
      <c r="AM18" s="899">
        <f t="shared" si="4"/>
        <v>311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2074</v>
      </c>
      <c r="BD18" s="899">
        <f t="shared" si="4"/>
        <v>5386</v>
      </c>
      <c r="BE18" s="899">
        <f t="shared" si="4"/>
        <v>0</v>
      </c>
      <c r="BF18" s="899">
        <f t="shared" si="4"/>
        <v>0</v>
      </c>
      <c r="BG18" s="899">
        <f>IF(ISNUMBER(Datos!K18/Datos!J18),Datos!K18/Datos!J18," - ")</f>
        <v>0.98545632015617379</v>
      </c>
      <c r="BH18" s="903">
        <f>IF(ISNUMBER(((Datos!L18/Datos!K18)*11)/factor_trimestre),((Datos!L18/Datos!K18)*11)/factor_trimestre," - ")</f>
        <v>2.5756735340729002</v>
      </c>
      <c r="BI18" s="899">
        <f>SUBTOTAL(9,BI15:BI17)</f>
        <v>0.48105651081174999</v>
      </c>
      <c r="BJ18" s="899">
        <f>SUBTOTAL(9,BJ15:BJ17)</f>
        <v>0</v>
      </c>
      <c r="BK18" s="899">
        <f>SUBTOTAL(9,BK15:BK17)</f>
        <v>0</v>
      </c>
      <c r="BL18" s="899">
        <f>IF(ISNUMBER((I18-AB18+L18)/(F18)),(I18-AB18+L18)/(F18)," - ")</f>
        <v>-4.7939221272554606</v>
      </c>
      <c r="BM18" s="905">
        <f>IF(ISNUMBER((Datos!P18-Datos!Q18)/(Datos!R18-Datos!P18+Datos!Q18)),(Datos!P18-Datos!Q18)/(Datos!R18-Datos!P18+Datos!Q18)," - ")</f>
        <v>-0.12885154061624648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11</v>
      </c>
      <c r="F19" s="820">
        <f t="shared" si="6"/>
        <v>2198</v>
      </c>
      <c r="G19" s="820">
        <f t="shared" si="6"/>
        <v>2213</v>
      </c>
      <c r="H19" s="822">
        <f t="shared" si="6"/>
        <v>0</v>
      </c>
      <c r="I19" s="820">
        <f t="shared" si="6"/>
        <v>0</v>
      </c>
      <c r="J19" s="822">
        <f t="shared" si="6"/>
        <v>0</v>
      </c>
      <c r="K19" s="822">
        <f t="shared" si="6"/>
        <v>0</v>
      </c>
      <c r="L19" s="881">
        <f t="shared" si="6"/>
        <v>0</v>
      </c>
      <c r="M19" s="881">
        <f t="shared" si="6"/>
        <v>0</v>
      </c>
      <c r="N19" s="881">
        <f t="shared" si="6"/>
        <v>743</v>
      </c>
      <c r="O19" s="881">
        <f t="shared" si="6"/>
        <v>0</v>
      </c>
      <c r="P19" s="881">
        <f t="shared" si="6"/>
        <v>0</v>
      </c>
      <c r="Q19" s="822">
        <f t="shared" si="6"/>
        <v>3123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10204</v>
      </c>
      <c r="AC19" s="821">
        <f t="shared" si="7"/>
        <v>3465</v>
      </c>
      <c r="AD19" s="821">
        <f t="shared" si="7"/>
        <v>0</v>
      </c>
      <c r="AE19" s="821">
        <f t="shared" si="7"/>
        <v>0</v>
      </c>
      <c r="AF19" s="828">
        <f t="shared" si="7"/>
        <v>2441</v>
      </c>
      <c r="AG19" s="828">
        <f t="shared" si="7"/>
        <v>0</v>
      </c>
      <c r="AH19" s="828">
        <f t="shared" si="7"/>
        <v>198</v>
      </c>
      <c r="AI19" s="828">
        <f t="shared" si="7"/>
        <v>0</v>
      </c>
      <c r="AJ19" s="821">
        <f t="shared" si="7"/>
        <v>0</v>
      </c>
      <c r="AK19" s="828">
        <f t="shared" si="7"/>
        <v>0</v>
      </c>
      <c r="AL19" s="828">
        <f t="shared" si="7"/>
        <v>0</v>
      </c>
      <c r="AM19" s="828">
        <f t="shared" si="7"/>
        <v>8728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4094</v>
      </c>
      <c r="BD19" s="820">
        <f t="shared" si="7"/>
        <v>9646</v>
      </c>
      <c r="BE19" s="820">
        <f t="shared" si="7"/>
        <v>0</v>
      </c>
      <c r="BF19" s="830">
        <f t="shared" si="7"/>
        <v>0</v>
      </c>
      <c r="BG19" s="915">
        <f>IF(ISNUMBER(Datos!K19/Datos!J19),Datos!K19/Datos!J19," - ")</f>
        <v>0.94171151007190823</v>
      </c>
      <c r="BH19" s="915">
        <f>IF(ISNUMBER(((Datos!L19/Datos!K19)*11)/factor_trimestre),((Datos!L19/Datos!K19)*11)/factor_trimestre," - ")</f>
        <v>4.2470290771175723</v>
      </c>
      <c r="BI19" s="813">
        <f>IF(ISNUMBER(Datos!J19/Datos!I19),Datos!J19/Datos!I19," - ")</f>
        <v>3.3242045274655689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-4.6424021838034575</v>
      </c>
      <c r="BM19" s="889">
        <f>IF(ISNUMBER((Datos!P19-Datos!Q19+R19)/(Datos!R19-Datos!P19+Datos!Q19-R19)),(Datos!P19-Datos!Q19+R19)/(Datos!R19-Datos!P19+Datos!Q19-R19)," - ")</f>
        <v>-3.7706725468577729E-2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885.2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2.6977356760397742</v>
      </c>
      <c r="F21" s="551">
        <f>IF(ISNUMBER(STDEV(F8:F18)),STDEV(F8:F18),"-")</f>
        <v>1162.7834421479063</v>
      </c>
      <c r="G21" s="552">
        <f>IF(ISNUMBER(STDEV(G8:G18)),STDEV(G8:G18),"-")</f>
        <v>1079.0851217582419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5087.2201937797035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998.02316510952699</v>
      </c>
      <c r="BD21" s="551"/>
      <c r="BE21" s="551">
        <f>IF(ISNUMBER(STDEV(BE8:BE18)),STDEV(BE8:BE18),"-")</f>
        <v>0</v>
      </c>
      <c r="BF21" s="556">
        <f>IF(ISNUMBER(STDEV(BF8:BF18)),STDEV(BF8:BF18),"-")</f>
        <v>0</v>
      </c>
      <c r="BG21" s="775">
        <f>IF(ISNUMBER(STDEV(BG8:BG18)),STDEV(BG8:BG18),"-")</f>
        <v>9.4893963125476183E-2</v>
      </c>
      <c r="BH21" s="776">
        <f>IF(ISNUMBER(STDEV(BH8:BH18)),STDEV(BH8:BH18),"-")</f>
        <v>2.5097837529169289</v>
      </c>
      <c r="BI21" s="249">
        <f>IF(ISNUMBER(STDEV(BI8:BI18)),STDEV(BI8:BI18),"-")</f>
        <v>0.13452152127442987</v>
      </c>
      <c r="BJ21" s="230" t="str">
        <f>IF(ISNUMBER(BL21/BM21),BL21/BM21," - ")</f>
        <v xml:space="preserve"> - </v>
      </c>
      <c r="BK21" s="575"/>
      <c r="BL21" s="559">
        <f>IF(ISNUMBER(STDEV(BL8:BL18)),STDEV(BL8:BL18),"-")</f>
        <v>2.5597329710957593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0s/LShleb0mEPe8aErZn+APPindJv7kuo9AFgwMJEEBKnmJKLuOKqYqxzerANQ3/0d8kqJSN5e/p+9kJmQtj3A==" saltValue="S4oGss//YH6mSOOQF8iBQ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GANDIA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2555</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2855</v>
      </c>
      <c r="AA9" s="332" t="str">
        <f>IF(ISNUMBER(IF(J_V="SI",Datos!L9,Datos!L9+Datos!AB9)-IF(Monitorios="SI",Datos!CD9,0)),
                          IF(J_V="SI",Datos!L9,Datos!L9+Datos!AB9)-IF(Monitorios="SI",Datos!CD9,0),
                          " - ")</f>
        <v xml:space="preserve"> - </v>
      </c>
      <c r="AB9" s="334"/>
      <c r="AC9" s="334"/>
      <c r="AD9" s="484"/>
      <c r="AE9" s="484">
        <f>IF(ISNUMBER(Datos!R9),Datos!R9," - ")</f>
        <v>8064</v>
      </c>
      <c r="AF9" s="229" t="str">
        <f>IF(ISNUMBER(Datos!BV9),Datos!BV9," - ")</f>
        <v xml:space="preserve"> - </v>
      </c>
      <c r="AG9" s="225" t="str">
        <f>IF(ISNUMBER(Datos!DV9),Datos!DV9," - ")</f>
        <v xml:space="preserve"> - </v>
      </c>
      <c r="AH9" s="298"/>
      <c r="AI9" s="227"/>
      <c r="AJ9" s="225">
        <f>IF(ISNUMBER(Datos!M9),Datos!M9," - ")</f>
        <v>1955</v>
      </c>
      <c r="AK9" s="229">
        <f>IF(ISNUMBER(Datos!N9),Datos!N9," - ")</f>
        <v>4228</v>
      </c>
      <c r="AL9" s="229" t="str">
        <f>IF(ISNUMBER(Datos!BW9),Datos!BW9," - ")</f>
        <v xml:space="preserve"> - </v>
      </c>
      <c r="AM9" s="228" t="str">
        <f>IF(ISNUMBER(Datos!BX9),Datos!BX9," - ")</f>
        <v xml:space="preserve"> - </v>
      </c>
      <c r="AN9" s="243"/>
      <c r="AO9" s="260">
        <f>IF(ISNUMBER(((NºAsuntos!I9/NºAsuntos!G9)*11)/factor_trimestre),((NºAsuntos!I9/NºAsuntos!G9)*11)/factor_trimestre," - ")</f>
        <v>5.760124308050889</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-3.5868005738880916E-2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92</v>
      </c>
      <c r="G10" s="225">
        <f>IF(ISNUMBER(Datos!I10),Datos!I10," - ")</f>
        <v>92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108</v>
      </c>
      <c r="Z10" s="619">
        <f>IF(ISNUMBER(Datos!Q10),Datos!Q10," - ")</f>
        <v>24</v>
      </c>
      <c r="AA10" s="332">
        <f>IF(ISNUMBER(Datos!L10),Datos!L10,"-")</f>
        <v>77</v>
      </c>
      <c r="AB10" s="334"/>
      <c r="AC10" s="334"/>
      <c r="AD10" s="484"/>
      <c r="AE10" s="484">
        <f>IF(ISNUMBER(Datos!R10),Datos!R10," - ")</f>
        <v>82</v>
      </c>
      <c r="AF10" s="229" t="str">
        <f>IF(ISNUMBER(Datos!BV10),Datos!BV10," - ")</f>
        <v xml:space="preserve"> - </v>
      </c>
      <c r="AG10" s="225" t="str">
        <f>IF(ISNUMBER(Datos!DV10),Datos!DV10," - ")</f>
        <v xml:space="preserve"> - </v>
      </c>
      <c r="AH10" s="298"/>
      <c r="AI10" s="227"/>
      <c r="AJ10" s="225">
        <f>IF(ISNUMBER(Datos!M10),Datos!M10," - ")</f>
        <v>65</v>
      </c>
      <c r="AK10" s="229">
        <f>IF(ISNUMBER(Datos!N10),Datos!N10," - ")</f>
        <v>32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7.8425925925925917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0.17142857142857143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v>
      </c>
      <c r="AA12" s="332" t="str">
        <f>IF(ISNUMBER(IF(J_V="SI",Datos!L12,Datos!L12+Datos!AB12)-IF(Monitorios="SI",Datos!CD12,0)),
                          IF(J_V="SI",Datos!L12,Datos!L12+Datos!AB12)-IF(Monitorios="SI",Datos!CD12,0),
                          " - ")</f>
        <v xml:space="preserve"> - </v>
      </c>
      <c r="AB12" s="334"/>
      <c r="AC12" s="334"/>
      <c r="AD12" s="484"/>
      <c r="AE12" s="484">
        <f>IF(ISNUMBER(Datos!R12),Datos!R12," - ")</f>
        <v>271</v>
      </c>
      <c r="AF12" s="229" t="str">
        <f>IF(ISNUMBER(Datos!BV12),Datos!BV12," - ")</f>
        <v xml:space="preserve"> - </v>
      </c>
      <c r="AG12" s="225" t="str">
        <f>IF(ISNUMBER(Datos!DV12),Datos!DV12," - ")</f>
        <v xml:space="preserve"> - </v>
      </c>
      <c r="AH12" s="298"/>
      <c r="AI12" s="227"/>
      <c r="AJ12" s="225">
        <f>IF(ISNUMBER(Datos!M12),Datos!M12," - ")</f>
        <v>0</v>
      </c>
      <c r="AK12" s="229">
        <f>IF(ISNUMBER(Datos!N12),Datos!N12," - ")</f>
        <v>0</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-2.8673835125448029E-2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7</v>
      </c>
      <c r="F13" s="898">
        <f>SUBTOTAL(9,F8:F12)</f>
        <v>92</v>
      </c>
      <c r="G13" s="898">
        <f>SUBTOTAL(9,G8:G12)</f>
        <v>92</v>
      </c>
      <c r="H13" s="908"/>
      <c r="I13" s="898">
        <f t="shared" ref="I13:N13" si="0">SUBTOTAL(9,I8:I12)</f>
        <v>0</v>
      </c>
      <c r="J13" s="867">
        <f t="shared" si="0"/>
        <v>0</v>
      </c>
      <c r="K13" s="908">
        <f t="shared" si="0"/>
        <v>0</v>
      </c>
      <c r="L13" s="908">
        <f t="shared" si="0"/>
        <v>0</v>
      </c>
      <c r="M13" s="908">
        <f t="shared" si="0"/>
        <v>0</v>
      </c>
      <c r="N13" s="908">
        <f t="shared" si="0"/>
        <v>2591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108</v>
      </c>
      <c r="Z13" s="907">
        <f t="shared" si="2"/>
        <v>2887</v>
      </c>
      <c r="AA13" s="900">
        <f t="shared" si="2"/>
        <v>77</v>
      </c>
      <c r="AB13" s="900">
        <f t="shared" si="2"/>
        <v>0</v>
      </c>
      <c r="AC13" s="900">
        <f t="shared" si="2"/>
        <v>0</v>
      </c>
      <c r="AD13" s="900">
        <f t="shared" si="2"/>
        <v>0</v>
      </c>
      <c r="AE13" s="900">
        <f t="shared" si="2"/>
        <v>8417</v>
      </c>
      <c r="AF13" s="908">
        <f t="shared" si="2"/>
        <v>0</v>
      </c>
      <c r="AG13" s="908">
        <f t="shared" si="2"/>
        <v>0</v>
      </c>
      <c r="AH13" s="908">
        <f t="shared" si="2"/>
        <v>0</v>
      </c>
      <c r="AI13" s="908">
        <f t="shared" si="2"/>
        <v>0</v>
      </c>
      <c r="AJ13" s="908">
        <f t="shared" si="2"/>
        <v>2020</v>
      </c>
      <c r="AK13" s="908">
        <f t="shared" si="2"/>
        <v>4260</v>
      </c>
      <c r="AL13" s="908">
        <f t="shared" si="2"/>
        <v>0</v>
      </c>
      <c r="AM13" s="908">
        <f t="shared" si="2"/>
        <v>0</v>
      </c>
      <c r="AN13" s="908">
        <f t="shared" si="2"/>
        <v>0</v>
      </c>
      <c r="AO13" s="904">
        <f>IF(ISNUMBER(((NºAsuntos!I13/NºAsuntos!G13)*11)/factor_trimestre),((NºAsuntos!I13/NºAsuntos!G13)*11)/factor_trimestre," - ")</f>
        <v>5.7817395482940901</v>
      </c>
      <c r="AP13" s="910" t="str">
        <f>IF(ISNUMBER(Datos!CI13/Datos!CJ13),Datos!CI13/Datos!CJ13," - ")</f>
        <v xml:space="preserve"> - </v>
      </c>
      <c r="AQ13" s="928">
        <f t="shared" ref="AQ13:AV13" si="3">SUBTOTAL(9,AQ9:AQ12)</f>
        <v>0</v>
      </c>
      <c r="AR13" s="928">
        <f t="shared" si="3"/>
        <v>0.1068867305642425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3</v>
      </c>
      <c r="B15" s="507" t="s">
        <v>396</v>
      </c>
      <c r="C15" s="160" t="str">
        <f>Datos!A15</f>
        <v xml:space="preserve">Jdos. Instrucción                               </v>
      </c>
      <c r="D15" s="502"/>
      <c r="E15" s="1168">
        <f>IF(ISNUMBER(Datos!AQ15),Datos!AQ15," - ")</f>
        <v>3</v>
      </c>
      <c r="F15" s="333">
        <f>IF(ISNUMBER(AA15+Y15-Datos!J15-K15),AA15+Y15-Datos!J15-K15," - ")</f>
        <v>2106</v>
      </c>
      <c r="G15" s="225">
        <f>IF(ISNUMBER(IF(D_I="SI",Datos!I15,Datos!I15+Datos!AC15)),IF(D_I="SI",Datos!I15,Datos!I15+Datos!AC15)," - ")</f>
        <v>2012</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478</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9165</v>
      </c>
      <c r="Z15" s="619">
        <f>IF(ISNUMBER(Datos!Q15),Datos!Q15," - ")</f>
        <v>517</v>
      </c>
      <c r="AA15" s="332">
        <f>IF(ISNUMBER(IF(D_I="SI",Datos!L15,Datos!L15+Datos!AF15)),IF(D_I="SI",Datos!L15,Datos!L15+Datos!AF15)," - ")</f>
        <v>2246</v>
      </c>
      <c r="AB15" s="334"/>
      <c r="AC15" s="334"/>
      <c r="AD15" s="484"/>
      <c r="AE15" s="484">
        <f>IF(ISNUMBER(Datos!R15),Datos!R15," - ")</f>
        <v>294</v>
      </c>
      <c r="AF15" s="229" t="str">
        <f>IF(ISNUMBER(Datos!BV15),Datos!BV15," - ")</f>
        <v xml:space="preserve"> - </v>
      </c>
      <c r="AG15" s="225"/>
      <c r="AH15" s="298"/>
      <c r="AI15" s="227"/>
      <c r="AJ15" s="225">
        <f>IF(ISNUMBER(Datos!M15),Datos!M15," - ")</f>
        <v>1810</v>
      </c>
      <c r="AK15" s="229">
        <f>IF(ISNUMBER(Datos!N15),Datos!N15," - ")</f>
        <v>4668</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2.6956901254773595</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109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54</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931</v>
      </c>
      <c r="Z17" s="619">
        <f>IF(ISNUMBER(Datos!Q17),Datos!Q17," - ")</f>
        <v>61</v>
      </c>
      <c r="AA17" s="332">
        <f>IF(ISNUMBER(Datos!L17),Datos!L17,"-")</f>
        <v>118</v>
      </c>
      <c r="AB17" s="334"/>
      <c r="AC17" s="334"/>
      <c r="AD17" s="484"/>
      <c r="AE17" s="484">
        <f>IF(ISNUMBER(Datos!R17),Datos!R17," - ")</f>
        <v>17</v>
      </c>
      <c r="AF17" s="229" t="str">
        <f>IF(ISNUMBER(Datos!BV17),Datos!BV17," - ")</f>
        <v xml:space="preserve"> - </v>
      </c>
      <c r="AG17" s="225" t="str">
        <f>IF(ISNUMBER(Datos!DV17),Datos!DV17," - ")</f>
        <v xml:space="preserve"> - </v>
      </c>
      <c r="AH17" s="298"/>
      <c r="AI17" s="227"/>
      <c r="AJ17" s="225">
        <f>IF(ISNUMBER(Datos!M17),Datos!M17," - ")</f>
        <v>264</v>
      </c>
      <c r="AK17" s="229">
        <f>IF(ISNUMBER(Datos!N17),Datos!N17," - ")</f>
        <v>718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1.3941997851772288</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4</v>
      </c>
      <c r="F18" s="898">
        <f>SUBTOTAL(9,F15:F17)</f>
        <v>2106</v>
      </c>
      <c r="G18" s="898">
        <f>SUBTOTAL(9,G15:G17)</f>
        <v>2121</v>
      </c>
      <c r="H18" s="932">
        <f>SUBTOTAL(9,H15:H17)</f>
        <v>0</v>
      </c>
      <c r="I18" s="911">
        <f>SUBTOTAL(9,I15:I17)</f>
        <v>0</v>
      </c>
      <c r="J18" s="867">
        <f>SUBTOTAL(9,J14:J17)</f>
        <v>0</v>
      </c>
      <c r="K18" s="932">
        <f t="shared" ref="K18:S18" si="4">SUBTOTAL(9,K15:K17)</f>
        <v>0</v>
      </c>
      <c r="L18" s="932">
        <f t="shared" si="4"/>
        <v>0</v>
      </c>
      <c r="M18" s="932">
        <f t="shared" si="4"/>
        <v>0</v>
      </c>
      <c r="N18" s="932">
        <f t="shared" si="4"/>
        <v>532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10096</v>
      </c>
      <c r="Z18" s="932">
        <f t="shared" si="5"/>
        <v>578</v>
      </c>
      <c r="AA18" s="932">
        <f t="shared" si="5"/>
        <v>2364</v>
      </c>
      <c r="AB18" s="932">
        <f t="shared" si="5"/>
        <v>0</v>
      </c>
      <c r="AC18" s="932">
        <f t="shared" si="5"/>
        <v>0</v>
      </c>
      <c r="AD18" s="932">
        <f t="shared" si="5"/>
        <v>0</v>
      </c>
      <c r="AE18" s="932">
        <f t="shared" si="5"/>
        <v>311</v>
      </c>
      <c r="AF18" s="932">
        <f t="shared" si="5"/>
        <v>0</v>
      </c>
      <c r="AG18" s="932">
        <f t="shared" si="5"/>
        <v>0</v>
      </c>
      <c r="AH18" s="932">
        <f t="shared" si="5"/>
        <v>0</v>
      </c>
      <c r="AI18" s="932">
        <f t="shared" si="5"/>
        <v>0</v>
      </c>
      <c r="AJ18" s="932">
        <f t="shared" si="5"/>
        <v>2074</v>
      </c>
      <c r="AK18" s="932">
        <f t="shared" si="5"/>
        <v>5386</v>
      </c>
      <c r="AL18" s="932">
        <f t="shared" si="5"/>
        <v>0</v>
      </c>
      <c r="AM18" s="932">
        <f t="shared" si="5"/>
        <v>0</v>
      </c>
      <c r="AN18" s="932">
        <f t="shared" si="5"/>
        <v>0</v>
      </c>
      <c r="AO18" s="934">
        <f>IF(ISNUMBER(((NºAsuntos!I18/NºAsuntos!G18)*11)/factor_trimestre),((NºAsuntos!I18/NºAsuntos!G18)*11)/factor_trimestre," - ")</f>
        <v>2.5756735340729002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11</v>
      </c>
      <c r="F19" s="820">
        <f t="shared" si="7"/>
        <v>2198</v>
      </c>
      <c r="G19" s="820">
        <f t="shared" si="7"/>
        <v>2213</v>
      </c>
      <c r="H19" s="821">
        <f t="shared" si="7"/>
        <v>0</v>
      </c>
      <c r="I19" s="820">
        <f t="shared" si="7"/>
        <v>0</v>
      </c>
      <c r="J19" s="822">
        <f t="shared" si="7"/>
        <v>0</v>
      </c>
      <c r="K19" s="820">
        <f t="shared" si="7"/>
        <v>0</v>
      </c>
      <c r="L19" s="823">
        <f t="shared" si="7"/>
        <v>0</v>
      </c>
      <c r="M19" s="820">
        <f t="shared" si="7"/>
        <v>0</v>
      </c>
      <c r="N19" s="821">
        <f t="shared" si="7"/>
        <v>3123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10204</v>
      </c>
      <c r="Z19" s="827">
        <f t="shared" si="8"/>
        <v>3465</v>
      </c>
      <c r="AA19" s="828">
        <f t="shared" si="8"/>
        <v>2441</v>
      </c>
      <c r="AB19" s="828">
        <f t="shared" si="8"/>
        <v>0</v>
      </c>
      <c r="AC19" s="828">
        <f t="shared" si="8"/>
        <v>0</v>
      </c>
      <c r="AD19" s="829">
        <f t="shared" si="8"/>
        <v>0</v>
      </c>
      <c r="AE19" s="829">
        <f t="shared" si="8"/>
        <v>8728</v>
      </c>
      <c r="AF19" s="830">
        <f t="shared" si="8"/>
        <v>0</v>
      </c>
      <c r="AG19" s="831">
        <f t="shared" si="8"/>
        <v>0</v>
      </c>
      <c r="AH19" s="832">
        <f t="shared" si="8"/>
        <v>0</v>
      </c>
      <c r="AI19" s="830">
        <f t="shared" si="8"/>
        <v>0</v>
      </c>
      <c r="AJ19" s="820">
        <f t="shared" si="8"/>
        <v>4094</v>
      </c>
      <c r="AK19" s="820">
        <f t="shared" si="8"/>
        <v>9646</v>
      </c>
      <c r="AL19" s="820">
        <f t="shared" si="8"/>
        <v>0</v>
      </c>
      <c r="AM19" s="833">
        <f t="shared" si="8"/>
        <v>0</v>
      </c>
      <c r="AN19" s="823">
        <f>IF(ISNUMBER(Datos!K19/Datos!J19),Datos!K19/Datos!J19," - ")</f>
        <v>0.94171151007190823</v>
      </c>
      <c r="AO19" s="823">
        <f>IF(ISNUMBER(FIND("06",Criterios!A8,1)),(IF(ISNUMBER(((Datos!R19/Datos!Q19)*11)/factor_trimestre),((Datos!R19/Datos!Q19)*11)/factor_trimestre," - ")),(IF(ISNUMBER(((Datos!L19/Datos!K19)*11)/factor_trimestre),((Datos!L19/Datos!K19)*11)/factor_trimestre," - ")))</f>
        <v>4.2470290771175723</v>
      </c>
      <c r="AP19" s="834" t="str">
        <f>IF(ISNUMBER(Datos!CI19/Datos!CJ19),Datos!CI19/Datos!CJ19," - ")</f>
        <v xml:space="preserve"> - </v>
      </c>
      <c r="AQ19" s="834">
        <f>IF(OR(ISNUMBER(FIND("01",Criterios!A8,1)),ISNUMBER(FIND("02",Criterios!A8,1)),ISNUMBER(FIND("03",Criterios!A8,1)),ISNUMBER(FIND("04",Criterios!A8,1))),(J19-Y19+K19)/(F19-K19),(I19-Y19+K19)/(F19-K19))</f>
        <v>-4.6424021838034575</v>
      </c>
      <c r="AR19" s="834">
        <f>IF(ISNUMBER((Datos!P19-Datos!Q19+O19)/(Datos!R19-Datos!P19+Datos!Q19-O19)),(Datos!P19-Datos!Q19+O19)/(Datos!R19-Datos!P19+Datos!Q19-O19)," - ")</f>
        <v>-3.7706725468577729E-2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885.2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1162.7834421479063</v>
      </c>
      <c r="G21" s="552">
        <f>IF(ISNUMBER(STDEV(G8:G18)),STDEV(G8:G18),"-")</f>
        <v>1079.0851217582419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998.02316510952699</v>
      </c>
      <c r="AK21" s="252"/>
      <c r="AL21" s="252">
        <f>IF(ISNUMBER(STDEV(AL8:AL18)),STDEV(AL8:AL18),"-")</f>
        <v>0</v>
      </c>
      <c r="AM21" s="254">
        <f>IF(ISNUMBER(STDEV(AM8:AM18)),STDEV(AM8:AM18),"-")</f>
        <v>0</v>
      </c>
      <c r="AN21" s="539">
        <f>IF(ISNUMBER(STDEV(AN8:AN18)),STDEV(AN8:AN18),"-")</f>
        <v>0</v>
      </c>
      <c r="AO21" s="540">
        <f>IF(ISNUMBER(STDEV(AO8:AO18)),STDEV(AO8:AO18),"-")</f>
        <v>2.4842643120064833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NpYi9letYLKFtnuzThRo1V9mRFhsgx1b/Vbwd3k4oAhbRHi7eQVOwu373eHDbIAR6IxxZo+mQFvVC4ICi3oxxw==" saltValue="2f7AqEHJB28EDxFnh4WB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H8MIRYvlK41ubMal3Bz6AJfyBX7XUw0t2ntEgy/u2n1Afu9uiY30jzhy7yXto8gL/WsgtlYaWkKv27XaVikbg==" saltValue="eDmkDe5V1bwnWddYnow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M12mX3hRJYCpcrzMpY/WaT7za27hLIiNiQ4vqzactYwleeo6qqj7S85y5HHstloD9AzynVs3Bn9iGVPQ95lQw==" saltValue="S5R8T5YFWoRqEKcB76YNY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GANDIA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0.19413743392599711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0.13727589601122786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U2hxGTbEkJsvy/BTsLfwtp2UsHm6OS+7qlzcXTjGA/X0S5Qd4cN2Pq8abvF6KEeQTpIgU/GQdkdLmjxcLP3MLQ==" saltValue="aHlbMmdtNBUzGZPkGaEN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sdShHWdUgZldzFQm8RbuVSB9hCdBdTmiWXEqJ8A9chksfY1k0YgEhwIW8cQDw3zQXn2Ki87jqDL3QXesbg8y1Q==" saltValue="O1Ert6iC1PPvHjqrDIW0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GANDIA</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6</v>
      </c>
      <c r="C9" s="403">
        <f>IF(ISNUMBER(IF(J_V="SI",Datos!I9,Datos!I9+Datos!Y9)),IF(J_V="SI",Datos!I9,Datos!I9+Datos!Y9)," - ")</f>
        <v>4285</v>
      </c>
      <c r="D9" s="404">
        <f>IF(ISNUMBER(C9/Datos!BH9),C9/Datos!BH9," - ")</f>
        <v>714.16666666666663</v>
      </c>
      <c r="E9" s="403">
        <f>IF(ISNUMBER(IF(J_V="SI",Datos!J9,Datos!J9+Datos!Z9)),IF(J_V="SI",Datos!J9,Datos!J9+Datos!Z9)," - ")</f>
        <v>11404</v>
      </c>
      <c r="F9" s="404">
        <f>IF(ISNUMBER(E9/B9),E9/B9," - ")</f>
        <v>1900.6666666666667</v>
      </c>
      <c r="G9" s="403">
        <f>IF(ISNUMBER(IF(J_V="SI",Datos!K9,Datos!K9+Datos!AA9)),IF(J_V="SI",Datos!K9,Datos!K9+Datos!AA9)," - ")</f>
        <v>10297</v>
      </c>
      <c r="H9" s="404">
        <f>IF(ISNUMBER(G9/B9),G9/B9," - ")</f>
        <v>1716.1666666666667</v>
      </c>
      <c r="I9" s="403">
        <f>IF(ISNUMBER(IF(J_V="SI",Datos!L9,Datos!L9+Datos!AB9)),IF(J_V="SI",Datos!L9,Datos!L9+Datos!AB9)," - ")</f>
        <v>5392</v>
      </c>
      <c r="J9" s="404">
        <f>IF(ISNUMBER(I9/B9),I9/B9," - ")</f>
        <v>898.66666666666663</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92</v>
      </c>
      <c r="D10" s="404">
        <f>IF(ISNUMBER(C10/Datos!BH10),C10/Datos!BH10," - ")</f>
        <v>92</v>
      </c>
      <c r="E10" s="403">
        <f>IF(ISNUMBER(Datos!J10),Datos!J10," - ")</f>
        <v>93</v>
      </c>
      <c r="F10" s="404">
        <f>IF(ISNUMBER(E10/B10),E10/B10," - ")</f>
        <v>93</v>
      </c>
      <c r="G10" s="403">
        <f>IF(ISNUMBER(Datos!K10),Datos!K10," - ")</f>
        <v>108</v>
      </c>
      <c r="H10" s="404">
        <f>IF(ISNUMBER(G10/B10),G10/B10," - ")</f>
        <v>108</v>
      </c>
      <c r="I10" s="403">
        <f>IF(ISNUMBER(Datos!L10),Datos!L10," - ")</f>
        <v>77</v>
      </c>
      <c r="J10" s="404">
        <f>IF(ISNUMBER(I10/B10),I10/B10," - ")</f>
        <v>77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f>IF(ISNUMBER(IF(J_V="SI",Datos!I12,Datos!I12+Datos!Y12)),IF(J_V="SI",Datos!I12,Datos!I12+Datos!Y12)," - ")</f>
        <v>0</v>
      </c>
      <c r="D12" s="404" t="str">
        <f>IF(ISNUMBER(C12/Datos!BH12),C12/Datos!BH12," - ")</f>
        <v xml:space="preserve"> - </v>
      </c>
      <c r="E12" s="403">
        <f>IF(ISNUMBER(IF(J_V="SI",Datos!J12,Datos!J12+Datos!Z12)),IF(J_V="SI",Datos!J12,Datos!J12+Datos!Z12)," - ")</f>
        <v>0</v>
      </c>
      <c r="F12" s="404" t="str">
        <f>IF(ISNUMBER(E12/B12),E12/B12," - ")</f>
        <v xml:space="preserve"> - </v>
      </c>
      <c r="G12" s="403">
        <f>IF(ISNUMBER(IF(J_V="SI",Datos!K12,Datos!K12+Datos!AA12)),IF(J_V="SI",Datos!K12,Datos!K12+Datos!AA12)," - ")</f>
        <v>0</v>
      </c>
      <c r="H12" s="404" t="str">
        <f>IF(ISNUMBER(G12/B12),G12/B12," - ")</f>
        <v xml:space="preserve"> - </v>
      </c>
      <c r="I12" s="403">
        <f>IF(ISNUMBER(IF(J_V="SI",Datos!L12,Datos!L12+Datos!AB12)),IF(J_V="SI",Datos!L12,Datos!L12+Datos!AB12)," - ")</f>
        <v>0</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4377</v>
      </c>
      <c r="D13" s="850" t="str">
        <f>IF(ISNUMBER(C13/Datos!BI13),C13/Datos!BI13," - ")</f>
        <v xml:space="preserve"> - </v>
      </c>
      <c r="E13" s="849">
        <f>SUBTOTAL(9,E8:E12)</f>
        <v>11497</v>
      </c>
      <c r="F13" s="850">
        <f>IF(ISNUMBER(E13/B13),E13/B13," - ")</f>
        <v>1642.4285714285713</v>
      </c>
      <c r="G13" s="849">
        <f>SUBTOTAL(9,G8:G12)</f>
        <v>10405</v>
      </c>
      <c r="H13" s="850">
        <f>IF(ISNUMBER(G13/B13),G13/B13," - ")</f>
        <v>1486.4285714285713</v>
      </c>
      <c r="I13" s="849">
        <f>SUBTOTAL(9,I8:I12)</f>
        <v>5469</v>
      </c>
      <c r="J13" s="850">
        <f>IF(ISNUMBER(I13/B13),I13/B13," - ")</f>
        <v>781.28571428571433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3</v>
      </c>
      <c r="C15" s="403">
        <f>IF(ISNUMBER(IF(D_I="SI",Datos!I15,Datos!I15+Datos!AC15)),IF(D_I="SI",Datos!I15,Datos!I15+Datos!AC15)," - ")</f>
        <v>2012</v>
      </c>
      <c r="D15" s="404">
        <f>IF(ISNUMBER(C15/Datos!BH15),C15/Datos!BH15," - ")</f>
        <v>670.66666666666663</v>
      </c>
      <c r="E15" s="403">
        <f>IF(ISNUMBER(IF(D_I="SI",Datos!J15,Datos!J15+Datos!AD15)),IF(D_I="SI",Datos!J15,Datos!J15+Datos!AD15)," - ")</f>
        <v>9305</v>
      </c>
      <c r="F15" s="404">
        <f>IF(ISNUMBER(E15/B15),E15/B15," - ")</f>
        <v>3101.6666666666665</v>
      </c>
      <c r="G15" s="403">
        <f>IF(ISNUMBER(IF(D_I="SI",Datos!K15,Datos!K15+Datos!AE15)),IF(D_I="SI",Datos!K15,Datos!K15+Datos!AE15)," - ")</f>
        <v>9165</v>
      </c>
      <c r="H15" s="404">
        <f>IF(ISNUMBER(G15/B15),G15/B15," - ")</f>
        <v>3055</v>
      </c>
      <c r="I15" s="403">
        <f>IF(ISNUMBER(IF(D_I="SI",Datos!L15,Datos!L15+Datos!AF15)),IF(D_I="SI",Datos!L15,Datos!L15+Datos!AF15)," - ")</f>
        <v>2246</v>
      </c>
      <c r="J15" s="404">
        <f>IF(ISNUMBER(I15/B15),I15/B15," - ")</f>
        <v>748.66666666666663</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109</v>
      </c>
      <c r="D17" s="404">
        <f>IF(ISNUMBER(C17/Datos!BH17),C17/Datos!BH17," - ")</f>
        <v>109</v>
      </c>
      <c r="E17" s="403">
        <f>IF(ISNUMBER(IF(D_I="SI",Datos!J17,Datos!J17+Datos!AD17)),IF(D_I="SI",Datos!J17,Datos!J17+Datos!AD17)," - ")</f>
        <v>940</v>
      </c>
      <c r="F17" s="404">
        <f>IF(ISNUMBER(E17/B17),E17/B17," - ")</f>
        <v>940</v>
      </c>
      <c r="G17" s="403">
        <f>IF(ISNUMBER(IF(D_I="SI",Datos!K17,Datos!K17+Datos!AE17)),IF(D_I="SI",Datos!K17,Datos!K17+Datos!AE17)," - ")</f>
        <v>931</v>
      </c>
      <c r="H17" s="404">
        <f>IF(ISNUMBER(G17/B17),G17/B17," - ")</f>
        <v>931</v>
      </c>
      <c r="I17" s="403">
        <f>IF(ISNUMBER(IF(D_I="SI",Datos!L17,Datos!L17+Datos!AF17)),IF(D_I="SI",Datos!L17,Datos!L17+Datos!AF17)," - ")</f>
        <v>118</v>
      </c>
      <c r="J17" s="404">
        <f>IF(ISNUMBER(I17/B17),I17/B17," - ")</f>
        <v>118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2121</v>
      </c>
      <c r="D18" s="850" t="str">
        <f>IF(ISNUMBER(C18/Datos!BI18),C18/Datos!BI18," - ")</f>
        <v xml:space="preserve"> - </v>
      </c>
      <c r="E18" s="849">
        <f>SUBTOTAL(9,E14:E17)</f>
        <v>10245</v>
      </c>
      <c r="F18" s="850">
        <f>IF(ISNUMBER(E18/B18),E18/B18," - ")</f>
        <v>2561.25</v>
      </c>
      <c r="G18" s="849">
        <f>SUBTOTAL(9,G14:G17)</f>
        <v>10096</v>
      </c>
      <c r="H18" s="850">
        <f>IF(ISNUMBER(G18/B18),G18/B18," - ")</f>
        <v>2524</v>
      </c>
      <c r="I18" s="849">
        <f>SUBTOTAL(9,I14:I17)</f>
        <v>2364</v>
      </c>
      <c r="J18" s="850">
        <f>IF(ISNUMBER(I18/B18),I18/B18," - ")</f>
        <v>591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6498</v>
      </c>
      <c r="D19" s="795" t="str">
        <f>IF(ISNUMBER(C19/Datos!BI19),C19/Datos!BI19," - ")</f>
        <v xml:space="preserve"> - </v>
      </c>
      <c r="E19" s="794">
        <f>SUBTOTAL(9,E9:E18)</f>
        <v>21742</v>
      </c>
      <c r="F19" s="795">
        <f>IF(ISNUMBER(E19/B19),E19/B19," - ")</f>
        <v>2174.1999999999998</v>
      </c>
      <c r="G19" s="794">
        <f>SUBTOTAL(9,G9:G18)</f>
        <v>20501</v>
      </c>
      <c r="H19" s="795">
        <f>IF(ISNUMBER(G19/B19),G19/B19," - ")</f>
        <v>2050.1</v>
      </c>
      <c r="I19" s="794">
        <f>SUBTOTAL(9,I9:I18)</f>
        <v>7833</v>
      </c>
      <c r="J19" s="795">
        <f>IF(ISNUMBER(I19/B19),I19/B19," - ")</f>
        <v>783.3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Oc7WHL1ScYAQtszG8uklqYFwB1hAAXyL8B+wcTjog0j8UKDgfm56I95pph5AJ5Iur1DJWsbiafKYDGhDBbNnhA==" saltValue="o0QXg6nYokJho6HWkOoa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GANDIA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92</v>
      </c>
      <c r="G10" s="684">
        <f>IF(ISNUMBER(Datos!I10),Datos!I10," - ")</f>
        <v>92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108</v>
      </c>
      <c r="AC10" s="683" t="str">
        <f>IF(ISNUMBER(IF(D_I="SI",DatosP!K17,DatosP!K17+DatosP!AE17)),IF(D_I="SI",DatosP!K17,DatosP!K17+DatosP!AE17)," - ")</f>
        <v xml:space="preserve"> - </v>
      </c>
      <c r="AD10" s="685"/>
      <c r="AE10" s="685"/>
      <c r="AF10" s="688">
        <f>IF(ISNUMBER(Datos!L10),Datos!L10,"-")</f>
        <v>77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65</v>
      </c>
      <c r="AM10" s="690">
        <f>IF(ISNUMBER(Datos!N10+DatosP!N17),Datos!N10+DatosP!N17," - ")</f>
        <v>32</v>
      </c>
      <c r="AN10" s="690">
        <f>IF(ISNUMBER(Datos!BW10+DatosP!BW17),Datos!BW10+DatosP!BW17," - ")</f>
        <v>0</v>
      </c>
      <c r="AO10" s="691">
        <f>IF(ISNUMBER(Datos!BX10+DatosP!BX17),Datos!BX10+DatosP!BX17," - ")</f>
        <v>0</v>
      </c>
      <c r="AP10" s="693">
        <f>IF(ISNUMBER(((Datos!L10/Datos!K10)*11)/factor_trimestre),((Datos!L10/Datos!K10)*11)/factor_trimestre," - ")</f>
        <v>7.8425925925925917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271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0</v>
      </c>
      <c r="AM12" s="690">
        <f>IF(ISNUMBER(Datos!N12+DatosP!N16),Datos!N12+DatosP!N16," - ")</f>
        <v>0</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-2.8673835125448029E-2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92</v>
      </c>
      <c r="G13" s="938">
        <f t="shared" si="0"/>
        <v>92</v>
      </c>
      <c r="H13" s="938">
        <f t="shared" si="0"/>
        <v>0</v>
      </c>
      <c r="I13" s="940">
        <f t="shared" si="0"/>
        <v>0</v>
      </c>
      <c r="J13" s="939">
        <f t="shared" si="0"/>
        <v>0</v>
      </c>
      <c r="K13" s="939">
        <f t="shared" si="0"/>
        <v>0</v>
      </c>
      <c r="L13" s="941">
        <f t="shared" si="0"/>
        <v>0</v>
      </c>
      <c r="M13" s="941">
        <f t="shared" si="0"/>
        <v>0</v>
      </c>
      <c r="N13" s="939">
        <f t="shared" si="0"/>
        <v>36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108</v>
      </c>
      <c r="AC13" s="939">
        <f t="shared" si="1"/>
        <v>0</v>
      </c>
      <c r="AD13" s="939">
        <f t="shared" si="1"/>
        <v>8</v>
      </c>
      <c r="AE13" s="939">
        <f t="shared" si="1"/>
        <v>0</v>
      </c>
      <c r="AF13" s="939">
        <f t="shared" si="1"/>
        <v>77</v>
      </c>
      <c r="AG13" s="939">
        <f t="shared" si="1"/>
        <v>0</v>
      </c>
      <c r="AH13" s="939">
        <f t="shared" si="1"/>
        <v>271</v>
      </c>
      <c r="AI13" s="939">
        <f t="shared" si="1"/>
        <v>0</v>
      </c>
      <c r="AJ13" s="939">
        <f t="shared" si="1"/>
        <v>0</v>
      </c>
      <c r="AK13" s="939">
        <f t="shared" si="1"/>
        <v>0</v>
      </c>
      <c r="AL13" s="939">
        <f t="shared" si="1"/>
        <v>65</v>
      </c>
      <c r="AM13" s="939">
        <f t="shared" si="1"/>
        <v>32</v>
      </c>
      <c r="AN13" s="939">
        <f t="shared" si="1"/>
        <v>0</v>
      </c>
      <c r="AO13" s="939">
        <f t="shared" si="1"/>
        <v>0</v>
      </c>
      <c r="AP13" s="944">
        <f>IF(ISNUMBER(((Datos!L13/Datos!K13)*11)/factor_trimestre),((Datos!L13/Datos!K13)*11)/factor_trimestre," - ")</f>
        <v>5.9903915693770013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-1.173913043478261</v>
      </c>
      <c r="AU13" s="939" t="str">
        <f>IF(ISNUMBER((DatosP!#REF!-DatosP!#REF!+DatosP!#REF!)/(DatosP!#REF!+DatosP!#REF!-DatosP!#REF!-DatosP!#REF!)),(DatosP!#REF!-DatosP!#REF!+DatosP!#REF!)/(DatosP!#REF!+DatosP!#REF!-DatosP!#REF!-DatosP!#REF!)," - ")</f>
        <v xml:space="preserve"> - </v>
      </c>
      <c r="AV13" s="945">
        <f>SUBTOTAL(9,AV9:AV12)</f>
        <v>-2.8673835125448029E-2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3</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2.5756735340729002</v>
      </c>
      <c r="AQ18" s="944">
        <f>IF(ISNUMBER(((Datos!M18/Datos!L18)*11)/factor_trimestre),((Datos!M18/Datos!L18)*11)/factor_trimestre," - ")</f>
        <v>9.6505922165820639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-0.12885154061624648</v>
      </c>
      <c r="AW18" s="946">
        <f>IF(ISNUMBER((Datos!Q18-Datos!R18)/(Datos!S18-Datos!Q18+Datos!R18)),(Datos!Q18-Datos!R18)/(Datos!S18-Datos!Q18+Datos!R18)," - ")</f>
        <v>0.22047894302229562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92</v>
      </c>
      <c r="G19" s="951">
        <f t="shared" si="4"/>
        <v>92</v>
      </c>
      <c r="H19" s="951">
        <f t="shared" si="4"/>
        <v>0</v>
      </c>
      <c r="I19" s="952">
        <f t="shared" si="4"/>
        <v>0</v>
      </c>
      <c r="J19" s="953">
        <f t="shared" si="4"/>
        <v>0</v>
      </c>
      <c r="K19" s="953">
        <f t="shared" si="4"/>
        <v>0</v>
      </c>
      <c r="L19" s="953">
        <f t="shared" si="4"/>
        <v>0</v>
      </c>
      <c r="M19" s="953">
        <f t="shared" si="4"/>
        <v>0</v>
      </c>
      <c r="N19" s="952">
        <f t="shared" si="4"/>
        <v>36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108</v>
      </c>
      <c r="AC19" s="957">
        <f t="shared" si="5"/>
        <v>0</v>
      </c>
      <c r="AD19" s="957">
        <f t="shared" si="5"/>
        <v>8</v>
      </c>
      <c r="AE19" s="957">
        <f t="shared" si="5"/>
        <v>0</v>
      </c>
      <c r="AF19" s="958">
        <f t="shared" si="5"/>
        <v>77</v>
      </c>
      <c r="AG19" s="958">
        <f t="shared" si="5"/>
        <v>0</v>
      </c>
      <c r="AH19" s="958">
        <f t="shared" si="5"/>
        <v>271</v>
      </c>
      <c r="AI19" s="958">
        <f t="shared" si="5"/>
        <v>0</v>
      </c>
      <c r="AJ19" s="959">
        <f t="shared" si="5"/>
        <v>0</v>
      </c>
      <c r="AK19" s="959">
        <f t="shared" si="5"/>
        <v>0</v>
      </c>
      <c r="AL19" s="951">
        <f t="shared" si="5"/>
        <v>65</v>
      </c>
      <c r="AM19" s="951">
        <f t="shared" si="5"/>
        <v>32</v>
      </c>
      <c r="AN19" s="951">
        <f t="shared" si="5"/>
        <v>0</v>
      </c>
      <c r="AO19" s="951">
        <f t="shared" si="5"/>
        <v>0</v>
      </c>
      <c r="AP19" s="951">
        <f>IF(ISNUMBER(((Datos!L19/Datos!K19)*11)/factor_trimestre),((Datos!L19/Datos!K19)*11)/factor_trimestre," - ")</f>
        <v>4.2470290771175723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-1.173913043478261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-3.7706725468577729E-2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61.333333333333336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3.2659863237109041</v>
      </c>
      <c r="F21" s="736">
        <f>IF(ISNUMBER(STDEV(F8:F18)),STDEV(F8:F18),"-")</f>
        <v>53.116224765445565</v>
      </c>
      <c r="G21" s="737">
        <f>IF(ISNUMBER(STDEV(G8:G18)),STDEV(G8:G18),"-")</f>
        <v>53.116224765445565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62.353829072479584</v>
      </c>
      <c r="AC21" s="738">
        <f>IF(ISNUMBER(STDEV(AC8:AC18)),STDEV(AC8:AC18),"-")</f>
        <v>0</v>
      </c>
      <c r="AD21" s="741"/>
      <c r="AE21" s="741"/>
      <c r="AF21" s="741"/>
      <c r="AG21" s="741"/>
      <c r="AH21" s="741"/>
      <c r="AI21" s="741"/>
      <c r="AJ21" s="742">
        <f>IF(ISNUMBER(STDEV(AJ8:AJ18)),STDEV(AJ8:AJ18),"-")</f>
        <v>0</v>
      </c>
      <c r="AK21" s="744"/>
      <c r="AL21" s="736">
        <f>IF(ISNUMBER(STDEV(AL8:AL18)),STDEV(AL8:AL18),"-")</f>
        <v>37.527767497325677</v>
      </c>
      <c r="AM21" s="736"/>
      <c r="AN21" s="736">
        <f>IF(ISNUMBER(STDEV(AN8:AN18)),STDEV(AN8:AN18),"-")</f>
        <v>0</v>
      </c>
      <c r="AO21" s="742">
        <f>IF(ISNUMBER(STDEV(AO8:AO18)),STDEV(AO8:AO18),"-")</f>
        <v>0</v>
      </c>
      <c r="AP21" s="779">
        <f>IF(ISNUMBER(STDEV(AP8:AP18)),STDEV(AP8:AP18),"-")</f>
        <v>2.6718091330292153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aMgkO0qrNu0g2VOgc+byRyU8nDiJywMykw6/g/yTQRfbHg1NPvciYWWKiXnmOjvTTCIfnaG+3blrZGiWn1qr7Q==" saltValue="vJNEhER09u/JUFT4NV8j0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GANDIA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3</v>
      </c>
      <c r="D15" s="403">
        <f>Datos!BK15</f>
        <v>0</v>
      </c>
      <c r="E15" s="403">
        <f>Datos!AQ15</f>
        <v>3</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Ey4aYPDx0eXMG1won3oBEMJcMxlbzCRNJaTCCIY8kVJKE3yDghHD1VAOlhq6QSil2xfJXP8D6Y1at8vTI0gbHA==" saltValue="elhcqC0JAUl9CYMcQ6bK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GANDIA</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6</v>
      </c>
      <c r="C9" s="410">
        <f>Datos!AQ9</f>
        <v>6</v>
      </c>
      <c r="D9" s="403">
        <f>IF(ISNUMBER(Datos!M9),Datos!M9," - ")</f>
        <v>1955</v>
      </c>
      <c r="E9" s="404">
        <f t="shared" ref="E9:E13" si="0">IF(ISNUMBER(D9/B9),D9/B9," - ")</f>
        <v>325.83333333333331</v>
      </c>
      <c r="F9" s="403">
        <f>IF(ISNUMBER(Datos!N9),Datos!N9," - ")</f>
        <v>4228</v>
      </c>
      <c r="G9" s="404">
        <f t="shared" ref="G9:G13" si="1">IF(ISNUMBER(F9/B9),F9/B9," - ")</f>
        <v>704.66666666666663</v>
      </c>
      <c r="H9" s="403">
        <f>IF(ISNUMBER(Datos!O9),Datos!O9," - ")</f>
        <v>5722</v>
      </c>
      <c r="I9" s="404">
        <f>IF(ISNUMBER(H9/B9),H9/B9," - ")</f>
        <v>953.66666666666663</v>
      </c>
      <c r="BZ9" s="1186">
        <f>Datos!EZ9</f>
        <v>0</v>
      </c>
    </row>
    <row r="10" spans="1:78">
      <c r="A10" s="402" t="str">
        <f>Datos!A10</f>
        <v>Jdos. Violencia contra la mujer</v>
      </c>
      <c r="B10" s="427">
        <f>Datos!AO10</f>
        <v>1</v>
      </c>
      <c r="C10" s="410">
        <f>Datos!AQ10</f>
        <v>1</v>
      </c>
      <c r="D10" s="403">
        <f>IF(ISNUMBER(Datos!M10),Datos!M10," - ")</f>
        <v>65</v>
      </c>
      <c r="E10" s="404">
        <f>IF(ISNUMBER(D10/B10),D10/B10," - ")</f>
        <v>65</v>
      </c>
      <c r="F10" s="403">
        <f>IF(ISNUMBER(Datos!N10),Datos!N10," - ")</f>
        <v>32</v>
      </c>
      <c r="G10" s="404">
        <f>IF(ISNUMBER(F10/B10),F10/B10," - ")</f>
        <v>32</v>
      </c>
      <c r="H10" s="403">
        <f>IF(ISNUMBER(Datos!O10),Datos!O10," - ")</f>
        <v>30</v>
      </c>
      <c r="I10" s="404">
        <f t="shared" ref="I10:I12" si="2">IF(ISNUMBER(H10/B10),H10/B10," - ")</f>
        <v>30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0</v>
      </c>
      <c r="C12" s="410">
        <f>Datos!AQ12</f>
        <v>0</v>
      </c>
      <c r="D12" s="403">
        <f>IF(ISNUMBER(Datos!M12),Datos!M12," - ")</f>
        <v>0</v>
      </c>
      <c r="E12" s="404" t="str">
        <f t="shared" si="0"/>
        <v xml:space="preserve"> - </v>
      </c>
      <c r="F12" s="403">
        <f>IF(ISNUMBER(Datos!N12),Datos!N12," - ")</f>
        <v>0</v>
      </c>
      <c r="G12" s="404" t="str">
        <f t="shared" si="1"/>
        <v xml:space="preserve"> - </v>
      </c>
      <c r="H12" s="403">
        <f>IF(ISNUMBER(Datos!O12),Datos!O12," - ")</f>
        <v>5</v>
      </c>
      <c r="I12" s="404" t="str">
        <f t="shared" si="2"/>
        <v xml:space="preserve"> - </v>
      </c>
      <c r="BZ12" s="1186">
        <f>Datos!EZ12</f>
        <v>0</v>
      </c>
    </row>
    <row r="13" spans="1:78" ht="14.25" thickTop="1" thickBot="1">
      <c r="A13" s="848" t="str">
        <f>Datos!A13</f>
        <v>TOTAL</v>
      </c>
      <c r="B13" s="849">
        <f>Datos!AP13</f>
        <v>7</v>
      </c>
      <c r="C13" s="851">
        <f>Datos!AR13</f>
        <v>7</v>
      </c>
      <c r="D13" s="849">
        <f>SUBTOTAL(9,D9:D12)</f>
        <v>2020</v>
      </c>
      <c r="E13" s="850">
        <f t="shared" si="0"/>
        <v>288.57142857142856</v>
      </c>
      <c r="F13" s="849">
        <f>SUBTOTAL(9,F9:F12)</f>
        <v>4260</v>
      </c>
      <c r="G13" s="850">
        <f t="shared" si="1"/>
        <v>608.57142857142856</v>
      </c>
      <c r="H13" s="849">
        <f>SUBTOTAL(9,H9:H12)</f>
        <v>5757</v>
      </c>
      <c r="I13" s="850">
        <f>IF(ISNUMBER(H13/B13),H13/B13," - ")</f>
        <v>822.42857142857144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3</v>
      </c>
      <c r="C15" s="428">
        <f>Datos!AQ15</f>
        <v>3</v>
      </c>
      <c r="D15" s="403">
        <f>IF(ISNUMBER(Datos!M15),Datos!M15," - ")</f>
        <v>1810</v>
      </c>
      <c r="E15" s="404">
        <f t="shared" ref="E15:E18" si="3">IF(ISNUMBER(D15/B15),D15/B15," - ")</f>
        <v>603.33333333333337</v>
      </c>
      <c r="F15" s="403">
        <f>IF(ISNUMBER(Datos!N15),Datos!N15," - ")</f>
        <v>4668</v>
      </c>
      <c r="G15" s="404">
        <f t="shared" ref="G15:G18" si="4">IF(ISNUMBER(F15/B15),F15/B15," - ")</f>
        <v>1556</v>
      </c>
      <c r="H15" s="403">
        <f>IF(ISNUMBER(Datos!O15),Datos!O15," - ")</f>
        <v>414</v>
      </c>
      <c r="I15" s="404">
        <f t="shared" ref="I15:I17" si="5">IF(ISNUMBER(H15/B15),H15/B15," - ")</f>
        <v>138</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264</v>
      </c>
      <c r="E17" s="404">
        <f>IF(ISNUMBER(D17/B17),D17/B17," - ")</f>
        <v>264</v>
      </c>
      <c r="F17" s="403">
        <f>IF(ISNUMBER(Datos!N17),Datos!N17," - ")</f>
        <v>718</v>
      </c>
      <c r="G17" s="404">
        <f>IF(ISNUMBER(F17/B17),F17/B17," - ")</f>
        <v>718</v>
      </c>
      <c r="H17" s="403">
        <f>IF(ISNUMBER(Datos!O17),Datos!O17," - ")</f>
        <v>63</v>
      </c>
      <c r="I17" s="404">
        <f t="shared" si="5"/>
        <v>63</v>
      </c>
      <c r="BZ17" s="1186">
        <f>Datos!EZ17</f>
        <v>0</v>
      </c>
    </row>
    <row r="18" spans="1:78" ht="14.25" thickTop="1" thickBot="1">
      <c r="A18" s="848" t="str">
        <f>Datos!A18</f>
        <v>TOTAL</v>
      </c>
      <c r="B18" s="849">
        <f>Datos!AP18</f>
        <v>4</v>
      </c>
      <c r="C18" s="851">
        <f>Datos!AR18</f>
        <v>4</v>
      </c>
      <c r="D18" s="849">
        <f>SUBTOTAL(9,D15:D17)</f>
        <v>2074</v>
      </c>
      <c r="E18" s="850">
        <f t="shared" si="3"/>
        <v>518.5</v>
      </c>
      <c r="F18" s="849">
        <f>SUBTOTAL(9,F15:F17)</f>
        <v>5386</v>
      </c>
      <c r="G18" s="850">
        <f t="shared" si="4"/>
        <v>1346.5</v>
      </c>
      <c r="H18" s="849">
        <f>SUBTOTAL(9,H15:H17)</f>
        <v>477</v>
      </c>
      <c r="I18" s="850">
        <f>IF(ISNUMBER(H18/B18),H18/B18," - ")</f>
        <v>119.25</v>
      </c>
      <c r="BZ18" s="1186"/>
    </row>
    <row r="19" spans="1:78" ht="14.25" thickTop="1" thickBot="1">
      <c r="A19" s="793" t="str">
        <f>Datos!A19</f>
        <v>TOTAL JURISDICCIONES</v>
      </c>
      <c r="B19" s="794">
        <f>Datos!AP19</f>
        <v>10</v>
      </c>
      <c r="C19" s="794">
        <f>Datos!AR19</f>
        <v>10</v>
      </c>
      <c r="D19" s="794">
        <f>SUBTOTAL(9,D8:D18)</f>
        <v>4094</v>
      </c>
      <c r="E19" s="795">
        <f>IF(ISNUMBER(D19/B19),D19/B19," - ")</f>
        <v>409.4</v>
      </c>
      <c r="F19" s="794">
        <f>SUBTOTAL(9,F8:F18)</f>
        <v>9646</v>
      </c>
      <c r="G19" s="795">
        <f>IF(ISNUMBER(F19/B19),F19/B19," - ")</f>
        <v>964.6</v>
      </c>
      <c r="H19" s="794">
        <f>SUBTOTAL(9,H8:H18)</f>
        <v>6234</v>
      </c>
      <c r="I19" s="795">
        <f>IF(ISNUMBER(H19/B19),H19/B19," - ")</f>
        <v>623.4</v>
      </c>
    </row>
    <row r="22" spans="1:78">
      <c r="A22" s="391" t="str">
        <f>Criterios!A4</f>
        <v>Fecha Informe: 28 feb. 2025</v>
      </c>
    </row>
    <row r="27" spans="1:78">
      <c r="A27" s="414"/>
    </row>
  </sheetData>
  <sheetProtection algorithmName="SHA-512" hashValue="CXssIE2wFEE3vYK3nmnkrBMtVj+Ded40fhY74zNmZcYAMUEdiRoxVikvtA5I36D6FXypZXz1nUV3A9/kU2J++g==" saltValue="wlMP76BdTafzBMOkD8rV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GANDIA</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2555</v>
      </c>
      <c r="C9" s="434">
        <f>IF(ISNUMBER(Datos!Q9),Datos!Q9," - ")</f>
        <v>2855</v>
      </c>
      <c r="D9" s="408">
        <f>IF(ISNUMBER(Datos!R9),Datos!R9," - ")</f>
        <v>8064</v>
      </c>
    </row>
    <row r="10" spans="1:4">
      <c r="A10" s="402" t="str">
        <f>Datos!A10</f>
        <v>Jdos. Violencia contra la mujer</v>
      </c>
      <c r="B10" s="433">
        <f>IF(ISNUMBER(Datos!P10),Datos!P10," - ")</f>
        <v>36</v>
      </c>
      <c r="C10" s="434">
        <f>IF(ISNUMBER(Datos!Q10),Datos!Q10," - ")</f>
        <v>24</v>
      </c>
      <c r="D10" s="408">
        <f>IF(ISNUMBER(Datos!R10),Datos!R10," - ")</f>
        <v>82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0</v>
      </c>
      <c r="C12" s="434">
        <f>IF(ISNUMBER(Datos!Q12),Datos!Q12," - ")</f>
        <v>8</v>
      </c>
      <c r="D12" s="408">
        <f>IF(ISNUMBER(Datos!R12),Datos!R12," - ")</f>
        <v>271</v>
      </c>
    </row>
    <row r="13" spans="1:4" ht="14.25" thickTop="1" thickBot="1">
      <c r="A13" s="848" t="str">
        <f>Datos!A13</f>
        <v>TOTAL</v>
      </c>
      <c r="B13" s="849">
        <f>SUBTOTAL(9,B9:B12)</f>
        <v>2591</v>
      </c>
      <c r="C13" s="853">
        <f>SUBTOTAL(9,C9:C12)</f>
        <v>2887</v>
      </c>
      <c r="D13" s="851">
        <f>SUBTOTAL(9,D9:D12)</f>
        <v>8417</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478</v>
      </c>
      <c r="C15" s="434">
        <f>IF(ISNUMBER(Datos!Q15),Datos!Q15," - ")</f>
        <v>517</v>
      </c>
      <c r="D15" s="408">
        <f>IF(ISNUMBER(Datos!R15),Datos!R15," - ")</f>
        <v>294</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54</v>
      </c>
      <c r="C17" s="434">
        <f>IF(ISNUMBER(Datos!Q17),Datos!Q17," - ")</f>
        <v>61</v>
      </c>
      <c r="D17" s="408">
        <f>IF(ISNUMBER(Datos!R17),Datos!R17," - ")</f>
        <v>17</v>
      </c>
    </row>
    <row r="18" spans="1:4" ht="14.25" thickTop="1" thickBot="1">
      <c r="A18" s="848" t="str">
        <f>Datos!A18</f>
        <v>TOTAL</v>
      </c>
      <c r="B18" s="849">
        <f>SUBTOTAL(9,B15:B17)</f>
        <v>532</v>
      </c>
      <c r="C18" s="853">
        <f>SUBTOTAL(9,C15:C17)</f>
        <v>578</v>
      </c>
      <c r="D18" s="851">
        <f>SUBTOTAL(9,D15:D17)</f>
        <v>311</v>
      </c>
    </row>
    <row r="19" spans="1:4" ht="16.5" customHeight="1" thickTop="1" thickBot="1">
      <c r="A19" s="793" t="str">
        <f>Datos!A19</f>
        <v>TOTAL JURISDICCIONES</v>
      </c>
      <c r="B19" s="798">
        <f>SUBTOTAL(9,B8:B18)</f>
        <v>3123</v>
      </c>
      <c r="C19" s="799">
        <f>SUBTOTAL(9,C8:C18)</f>
        <v>3465</v>
      </c>
      <c r="D19" s="800">
        <f>SUBTOTAL(9,D8:D18)</f>
        <v>8728</v>
      </c>
    </row>
    <row r="20" spans="1:4" ht="7.5" customHeight="1"/>
    <row r="21" spans="1:4" ht="6" customHeight="1"/>
    <row r="22" spans="1:4">
      <c r="A22" s="391" t="str">
        <f>Criterios!A4</f>
        <v>Fecha Informe: 28 feb. 2025</v>
      </c>
    </row>
    <row r="27" spans="1:4">
      <c r="A27" s="414"/>
    </row>
  </sheetData>
  <sheetProtection algorithmName="SHA-512" hashValue="OBT+EBQ1QuV8wYDBr/8HD+qO886elWkLvaI0N+KhxK+czpDgujvEqTPij8H8nX/17u8Q8TylLvuaEqpbCqo+LQ==" saltValue="WiHYLi5aa/ceXflqkyJy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GANDIA</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-6.9489685124864281E-2</v>
      </c>
      <c r="C9" s="456">
        <f>IF(ISNUMBER(
   IF(J_V="SI",(Datos!J9-Datos!T9)/Datos!T9,(Datos!J9+Datos!Z9-(Datos!T9+Datos!AH9))/(Datos!T9+Datos!AH9))
     ),IF(J_V="SI",(Datos!J9-Datos!T9)/Datos!T9,(Datos!J9+Datos!Z9-(Datos!T9+Datos!AH9))/(Datos!T9+Datos!AH9))," - ")</f>
        <v>0.11280249804839969</v>
      </c>
      <c r="D9" s="456">
        <f>IF(ISNUMBER(
   IF(J_V="SI",(Datos!K9-Datos!U9)/Datos!U9,(Datos!K9+Datos!AA9-(Datos!U9+Datos!AI9))/(Datos!U9+Datos!AI9))
     ),IF(J_V="SI",(Datos!K9-Datos!U9)/Datos!U9,(Datos!K9+Datos!AA9-(Datos!U9+Datos!AI9))/(Datos!U9+Datos!AI9))," - ")</f>
        <v>-1.9800095192765349E-2</v>
      </c>
      <c r="E9" s="456">
        <f>IF(ISNUMBER(
   IF(J_V="SI",(Datos!L9-Datos!V9)/Datos!V9,(Datos!L9+Datos!AB9-(Datos!V9+Datos!AJ9))/(Datos!V9+Datos!AJ9))
     ),IF(J_V="SI",(Datos!L9-Datos!V9)/Datos!V9,(Datos!L9+Datos!AB9-(Datos!V9+Datos!AJ9))/(Datos!V9+Datos!AJ9))," - ")</f>
        <v>0.25834305717619604</v>
      </c>
      <c r="F9" s="456">
        <f>IF(ISNUMBER((Datos!M9-Datos!W9)/Datos!W9),(Datos!M9-Datos!W9)/Datos!W9," - ")</f>
        <v>0.18556701030927836</v>
      </c>
      <c r="G9" s="457">
        <f>IF(ISNUMBER((Datos!N9-Datos!X9)/Datos!X9),(Datos!N9-Datos!X9)/Datos!X9," - ")</f>
        <v>8.4380610412926396E-2</v>
      </c>
      <c r="H9" s="455">
        <f>IF(ISNUMBER(((NºAsuntos!G9/NºAsuntos!E9)-Datos!BD9)/Datos!BD9),((NºAsuntos!G9/NºAsuntos!E9)-Datos!BD9)/Datos!BD9," - ")</f>
        <v>-0.11916094138332678</v>
      </c>
      <c r="I9" s="456">
        <f>IF(ISNUMBER(((NºAsuntos!I9/NºAsuntos!G9)-Datos!BE9)/Datos!BE9),((NºAsuntos!I9/NºAsuntos!G9)-Datos!BE9)/Datos!BE9," - ")</f>
        <v>0.28376166025404864</v>
      </c>
      <c r="J9" s="461">
        <f>IF(ISNUMBER((('Resol  Asuntos'!D9/NºAsuntos!G9)-Datos!BF9)/Datos!BF9),(('Resol  Asuntos'!D9/NºAsuntos!G9)-Datos!BF9)/Datos!BF9," - ")</f>
        <v>-0.48846085819013213</v>
      </c>
      <c r="K9" s="462">
        <f>IF(ISNUMBER((((NºAsuntos!C9+NºAsuntos!E9)/NºAsuntos!G9)-Datos!BG9)/Datos!BG9),(((NºAsuntos!C9+NºAsuntos!E9)/NºAsuntos!G9)-Datos!BG9)/Datos!BG9," - ")</f>
        <v>7.7621942650548684E-2</v>
      </c>
    </row>
    <row r="10" spans="1:11">
      <c r="A10" s="402" t="str">
        <f>Datos!A10</f>
        <v>Jdos. Violencia contra la mujer</v>
      </c>
      <c r="B10" s="455">
        <f>IF(ISNUMBER((Datos!I10-Datos!S10)/Datos!S10),(Datos!I10-Datos!S10)/Datos!S10," - ")</f>
        <v>0.37313432835820898</v>
      </c>
      <c r="C10" s="456">
        <f>IF(ISNUMBER((Datos!J10-Datos!T10)/Datos!T10),(Datos!J10-Datos!T10)/Datos!T10," - ")</f>
        <v>-0.13084112149532709</v>
      </c>
      <c r="D10" s="456">
        <f>IF(ISNUMBER((Datos!K10-Datos!U10)/Datos!U10),(Datos!K10-Datos!U10)/Datos!U10," - ")</f>
        <v>0.31707317073170732</v>
      </c>
      <c r="E10" s="456">
        <f>IF(ISNUMBER((Datos!L10-Datos!V10)/Datos!V10),(Datos!L10-Datos!V10)/Datos!V10," - ")</f>
        <v>-0.16304347826086957</v>
      </c>
      <c r="F10" s="456">
        <f>IF(ISNUMBER((Datos!M10-Datos!W10)/Datos!W10),(Datos!M10-Datos!W10)/Datos!W10," - ")</f>
        <v>0.80555555555555558</v>
      </c>
      <c r="G10" s="457">
        <f>IF(ISNUMBER((Datos!N10-Datos!X10)/Datos!X10),(Datos!N10-Datos!X10)/Datos!X10," - ")</f>
        <v>-0.13513513513513514</v>
      </c>
      <c r="H10" s="455">
        <f>IF(ISNUMBER(((NºAsuntos!G10/NºAsuntos!E10)-Datos!BD10)/Datos!BD10),((NºAsuntos!G10/NºAsuntos!E10)-Datos!BD10)/Datos!BD10," - ")</f>
        <v>0.51534225019669566</v>
      </c>
      <c r="I10" s="456">
        <f>IF(ISNUMBER(((NºAsuntos!I10/NºAsuntos!G10)-Datos!BE10)/Datos!BE10),((NºAsuntos!I10/NºAsuntos!G10)-Datos!BE10)/Datos!BE10," - ")</f>
        <v>-0.36453301127214183</v>
      </c>
      <c r="J10" s="461">
        <f>IF(ISNUMBER((('Resol  Asuntos'!D10/NºAsuntos!G10)-Datos!BF10)/Datos!BF10),(('Resol  Asuntos'!D10/NºAsuntos!G10)-Datos!BF10)/Datos!BF10," - ")</f>
        <v>0.37088477366255146</v>
      </c>
      <c r="K10" s="462">
        <f>IF(ISNUMBER((((NºAsuntos!C10+NºAsuntos!E10)/NºAsuntos!G10)-Datos!BG10)/Datos!BG10),(((NºAsuntos!C10+NºAsuntos!E10)/NºAsuntos!G10)-Datos!BG10)/Datos!BG10," - ")</f>
        <v>-0.19274159216687953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-1</v>
      </c>
      <c r="C12" s="456" t="str">
        <f>IF(ISNUMBER(
   IF(J_V="SI",(Datos!J12-Datos!T12)/Datos!T12,(Datos!J12+Datos!Z12-(Datos!T12+Datos!AH12))/(Datos!T12+Datos!AH12))
     ),IF(J_V="SI",(Datos!J12-Datos!T12)/Datos!T12,(Datos!J12+Datos!Z12-(Datos!T12+Datos!AH12))/(Datos!T12+Datos!AH12))," - ")</f>
        <v xml:space="preserve"> - </v>
      </c>
      <c r="D12" s="456">
        <f>IF(ISNUMBER(
   IF(J_V="SI",(Datos!K12-Datos!U12)/Datos!U12,(Datos!K12+Datos!AA12-(Datos!U12+Datos!AI12))/(Datos!U12+Datos!AI12))
     ),IF(J_V="SI",(Datos!K12-Datos!U12)/Datos!U12,(Datos!K12+Datos!AA12-(Datos!U12+Datos!AI12))/(Datos!U12+Datos!AI12))," - ")</f>
        <v>-1</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f>IF(ISNUMBER((Datos!N12-Datos!X12)/Datos!X12),(Datos!N12-Datos!X12)/Datos!X12," - ")</f>
        <v>-1</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-6.3342606462657824E-2</v>
      </c>
      <c r="C13" s="855">
        <f>IF(ISNUMBER(
   IF(J_V="SI",(Datos!J13-Datos!T13)/Datos!T13,(Datos!J13+Datos!Z13-(Datos!T13+Datos!AH13))/(Datos!T13+Datos!AH13))
     ),IF(J_V="SI",(Datos!J13-Datos!T13)/Datos!T13,(Datos!J13+Datos!Z13-(Datos!T13+Datos!AH13))/(Datos!T13+Datos!AH13))," - ")</f>
        <v>0.11028488652824722</v>
      </c>
      <c r="D13" s="855">
        <f>IF(ISNUMBER(
   IF(J_V="SI",(Datos!K13-Datos!U13)/Datos!U13,(Datos!K13+Datos!AA13-(Datos!U13+Datos!AI13))/(Datos!U13+Datos!AI13))
     ),IF(J_V="SI",(Datos!K13-Datos!U13)/Datos!U13,(Datos!K13+Datos!AA13-(Datos!U13+Datos!AI13))/(Datos!U13+Datos!AI13))," - ")</f>
        <v>-1.7283717415942576E-2</v>
      </c>
      <c r="E13" s="855">
        <f>IF(ISNUMBER(
   IF(J_V="SI",(Datos!L13-Datos!V13)/Datos!V13,(Datos!L13+Datos!AB13-(Datos!V13+Datos!AJ13))/(Datos!V13+Datos!AJ13))
     ),IF(J_V="SI",(Datos!L13-Datos!V13)/Datos!V13,(Datos!L13+Datos!AB13-(Datos!V13+Datos!AJ13))/(Datos!V13+Datos!AJ13))," - ")</f>
        <v>0.24948594928032899</v>
      </c>
      <c r="F13" s="856">
        <f>IF(ISNUMBER((Datos!M13-Datos!W13)/Datos!W13),(Datos!M13-Datos!W13)/Datos!W13," - ")</f>
        <v>0.19881305637982197</v>
      </c>
      <c r="G13" s="857">
        <f>IF(ISNUMBER((Datos!N13-Datos!X13)/Datos!X13),(Datos!N13-Datos!X13)/Datos!X13," - ")</f>
        <v>8.1218274111675121E-2</v>
      </c>
      <c r="H13" s="857">
        <f>IF(ISNUMBER(((NºAsuntos!G13/NºAsuntos!E13)-Datos!BD13)/Datos!BD13),((NºAsuntos!G13/NºAsuntos!E13)-Datos!BD13)/Datos!BD13," - ")</f>
        <v>-0.11489718133792172</v>
      </c>
      <c r="I13" s="857">
        <f>IF(ISNUMBER(((NºAsuntos!I13/NºAsuntos!G13)-Datos!BE13)/Datos!BE13),((NºAsuntos!I13/NºAsuntos!G13)-Datos!BE13)/Datos!BE13," - ")</f>
        <v>0.27146153108891158</v>
      </c>
      <c r="J13" s="857">
        <f>IF(ISNUMBER((('Resol  Asuntos'!D13/NºAsuntos!G13)-Datos!BF13)/Datos!BF13),(('Resol  Asuntos'!D13/NºAsuntos!G13)-Datos!BF13)/Datos!BF13," - ")</f>
        <v>-0.47816015475794427</v>
      </c>
      <c r="K13" s="857">
        <f>IF(ISNUMBER((((NºAsuntos!C13+NºAsuntos!E13)/NºAsuntos!G13)-Datos!BG13)/Datos!BG13),(((NºAsuntos!C13+NºAsuntos!E13)/NºAsuntos!G13)-Datos!BG13)/Datos!BG13," - ")</f>
        <v>7.4872712375310319E-2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0.45165945165945165</v>
      </c>
      <c r="C15" s="456">
        <f>IF(ISNUMBER(
   IF(D_I="SI",(Datos!J15-Datos!T15)/Datos!T15,(Datos!J15+Datos!AD15-(Datos!T15+Datos!AL15))/(Datos!T15+Datos!AL15))
     ),IF(D_I="SI",(Datos!J15-Datos!T15)/Datos!T15,(Datos!J15+Datos!AD15-(Datos!T15+Datos!AL15))/(Datos!T15+Datos!AL15))," - ")</f>
        <v>8.1096781689322647E-2</v>
      </c>
      <c r="D15" s="456">
        <f>IF(ISNUMBER(
   IF(D_I="SI",(Datos!K15-Datos!U15)/Datos!U15,(Datos!K15+Datos!AE15-(Datos!U15+Datos!AM15))/(Datos!U15+Datos!AM15))
     ),IF(D_I="SI",(Datos!K15-Datos!U15)/Datos!U15,(Datos!K15+Datos!AE15-(Datos!U15+Datos!AM15))/(Datos!U15+Datos!AM15))," - ")</f>
        <v>0.10889292196007259</v>
      </c>
      <c r="E15" s="456">
        <f>IF(ISNUMBER(
   IF(D_I="SI",(Datos!L15-Datos!V15)/Datos!V15,(Datos!L15+Datos!AF15-(Datos!V15+Datos!AN15))/(Datos!V15+Datos!AN15))
     ),IF(D_I="SI",(Datos!L15-Datos!V15)/Datos!V15,(Datos!L15+Datos!AF15-(Datos!V15+Datos!AN15))/(Datos!V15+Datos!AN15))," - ")</f>
        <v>0.11630218687872763</v>
      </c>
      <c r="F15" s="456">
        <f>IF(ISNUMBER((Datos!M15-Datos!W15)/Datos!W15),(Datos!M15-Datos!W15)/Datos!W15," - ")</f>
        <v>0.20827770360480641</v>
      </c>
      <c r="G15" s="457">
        <f>IF(ISNUMBER((Datos!N15-Datos!X15)/Datos!X15),(Datos!N15-Datos!X15)/Datos!X15," - ")</f>
        <v>6.5996802923041789E-2</v>
      </c>
      <c r="H15" s="455">
        <f>IF(ISNUMBER(((NºAsuntos!G15/NºAsuntos!E15)-Datos!BD15)/Datos!BD15),((NºAsuntos!G15/NºAsuntos!E15)-Datos!BD15)/Datos!BD15," - ")</f>
        <v>2.5711056347162229E-2</v>
      </c>
      <c r="I15" s="456">
        <f>IF(ISNUMBER(((NºAsuntos!I15/NºAsuntos!G15)-Datos!BE15)/Datos!BE15),((NºAsuntos!I15/NºAsuntos!G15)-Datos!BE15)/Datos!BE15," - ")</f>
        <v>6.6816775289343317E-3</v>
      </c>
      <c r="J15" s="461">
        <f>IF(ISNUMBER((('Resol  Asuntos'!D15/NºAsuntos!G15)-Datos!BF15)/Datos!BF15),(('Resol  Asuntos'!D15/NºAsuntos!G15)-Datos!BF15)/Datos!BF15," - ")</f>
        <v>8.9625228619064509E-2</v>
      </c>
      <c r="K15" s="462">
        <f>IF(ISNUMBER((((NºAsuntos!C15+NºAsuntos!E15)/NºAsuntos!G15)-Datos!BG15)/Datos!BG15),(((NºAsuntos!C15+NºAsuntos!E15)/NºAsuntos!G15)-Datos!BG15)/Datos!BG15," - ")</f>
        <v>2.1282328071548701E-2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0.18478260869565216</v>
      </c>
      <c r="C17" s="456">
        <f>IF(ISNUMBER(
   IF(D_I="SI",(Datos!J17-Datos!T17)/Datos!T17,(Datos!J17+Datos!AD17-(Datos!T17+Datos!AL17))/(Datos!T17+Datos!AL17))
     ),IF(D_I="SI",(Datos!J17-Datos!T17)/Datos!T17,(Datos!J17+Datos!AD17-(Datos!T17+Datos!AL17))/(Datos!T17+Datos!AL17))," - ")</f>
        <v>1.0752688172043012E-2</v>
      </c>
      <c r="D17" s="456">
        <f>IF(ISNUMBER(
   IF(D_I="SI",(Datos!K17-Datos!U17)/Datos!U17,(Datos!K17+Datos!AE17-(Datos!U17+Datos!AM17))/(Datos!U17+Datos!AM17))
     ),IF(D_I="SI",(Datos!K17-Datos!U17)/Datos!U17,(Datos!K17+Datos!AE17-(Datos!U17+Datos!AM17))/(Datos!U17+Datos!AM17))," - ")</f>
        <v>1.8599562363238512E-2</v>
      </c>
      <c r="E17" s="456">
        <f>IF(ISNUMBER(
   IF(D_I="SI",(Datos!L17-Datos!V17)/Datos!V17,(Datos!L17+Datos!AF17-(Datos!V17+Datos!AN17))/(Datos!V17+Datos!AN17))
     ),IF(D_I="SI",(Datos!L17-Datos!V17)/Datos!V17,(Datos!L17+Datos!AF17-(Datos!V17+Datos!AN17))/(Datos!V17+Datos!AN17))," - ")</f>
        <v>8.2568807339449546E-2</v>
      </c>
      <c r="F17" s="456">
        <f>IF(ISNUMBER((Datos!M17-Datos!W17)/Datos!W17),(Datos!M17-Datos!W17)/Datos!W17," - ")</f>
        <v>0.1092436974789916</v>
      </c>
      <c r="G17" s="457">
        <f>IF(ISNUMBER((Datos!N17-Datos!X17)/Datos!X17),(Datos!N17-Datos!X17)/Datos!X17," - ")</f>
        <v>6.0561299852289516E-2</v>
      </c>
      <c r="H17" s="455">
        <f>IF(ISNUMBER(((NºAsuntos!G17/NºAsuntos!E17)-Datos!BD17)/Datos!BD17),((NºAsuntos!G17/NºAsuntos!E17)-Datos!BD17)/Datos!BD17," - ")</f>
        <v>7.7633968061827478E-3</v>
      </c>
      <c r="I17" s="456">
        <f>IF(ISNUMBER(((NºAsuntos!I17/NºAsuntos!G17)-Datos!BE17)/Datos!BE17),((NºAsuntos!I17/NºAsuntos!G17)-Datos!BE17)/Datos!BE17," - ")</f>
        <v>6.280117068556057E-2</v>
      </c>
      <c r="J17" s="461">
        <f>IF(ISNUMBER((('Resol  Asuntos'!D17/NºAsuntos!G17)-Datos!BF17)/Datos!BF17),(('Resol  Asuntos'!D17/NºAsuntos!G17)-Datos!BF17)/Datos!BF17," - ")</f>
        <v>8.8988979050266717E-2</v>
      </c>
      <c r="K17" s="462">
        <f>IF(ISNUMBER((((NºAsuntos!C17+NºAsuntos!E17)/NºAsuntos!G17)-Datos!BG17)/Datos!BG17),(((NºAsuntos!C17+NºAsuntos!E17)/NºAsuntos!G17)-Datos!BG17)/Datos!BG17," - ")</f>
        <v>7.6764457971879524E-3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0.43504736129905275</v>
      </c>
      <c r="C18" s="855">
        <f>IF(ISNUMBER(
   IF(Criterios!B14="SI",(Datos!J18-Datos!T18)/Datos!T18,(Datos!J18+Datos!AD18-(Datos!T18+Datos!AL18))/(Datos!T18+Datos!AL18))
     ),IF(Criterios!B14="SI",(Datos!J18-Datos!T18)/Datos!T18,(Datos!J18+Datos!AD18-(Datos!T18+Datos!AL18))/(Datos!T18+Datos!AL18))," - ")</f>
        <v>7.4237181503617494E-2</v>
      </c>
      <c r="D18" s="855">
        <f>IF(ISNUMBER(
   IF(Criterios!B14="SI",(Datos!K18-Datos!U18)/Datos!U18,(Datos!K18+Datos!AE18-(Datos!U18+Datos!AM18))/(Datos!U18+Datos!AM18))
     ),IF(Criterios!B14="SI",(Datos!K18-Datos!U18)/Datos!U18,(Datos!K18+Datos!AE18-(Datos!U18+Datos!AM18))/(Datos!U18+Datos!AM18))," - ")</f>
        <v>9.9901950103497117E-2</v>
      </c>
      <c r="E18" s="855">
        <f>IF(ISNUMBER(
   IF(Criterios!B14="SI",(Datos!L18-Datos!V18)/Datos!V18,(Datos!L18+Datos!AF18-(Datos!V18+Datos!AN18))/(Datos!V18+Datos!AN18))
     ),IF(Criterios!B14="SI",(Datos!L18-Datos!V18)/Datos!V18,(Datos!L18+Datos!AF18-(Datos!V18+Datos!AN18))/(Datos!V18+Datos!AN18))," - ")</f>
        <v>0.11456859971711457</v>
      </c>
      <c r="F18" s="856">
        <f>IF(ISNUMBER((Datos!M18-Datos!W18)/Datos!W18),(Datos!M18-Datos!W18)/Datos!W18," - ")</f>
        <v>0.19470046082949308</v>
      </c>
      <c r="G18" s="857">
        <f>IF(ISNUMBER((Datos!N18-Datos!X18)/Datos!X18),(Datos!N18-Datos!X18)/Datos!X18," - ")</f>
        <v>6.5268987341772153E-2</v>
      </c>
      <c r="H18" s="857">
        <f>IF(ISNUMBER(((NºAsuntos!G18/NºAsuntos!E18)-Datos!BD18)/Datos!BD18),((NºAsuntos!G18/NºAsuntos!E18)-Datos!BD18)/Datos!BD18," - ")</f>
        <v>2.389115647994652E-2</v>
      </c>
      <c r="I18" s="857">
        <f>IF(ISNUMBER(((NºAsuntos!I18/NºAsuntos!G18)-Datos!BE18)/Datos!BE18),((NºAsuntos!I18/NºAsuntos!G18)-Datos!BE18)/Datos!BE18," - ")</f>
        <v>1.3334506418719833E-2</v>
      </c>
      <c r="J18" s="857">
        <f>IF(ISNUMBER((('Resol  Asuntos'!D18/NºAsuntos!G18)-Datos!BF18)/Datos!BF18),(('Resol  Asuntos'!D18/NºAsuntos!G18)-Datos!BF18)/Datos!BF18," - ")</f>
        <v>8.6188146786243675E-2</v>
      </c>
      <c r="K18" s="857">
        <f>IF(ISNUMBER((((NºAsuntos!C18+NºAsuntos!E18)/NºAsuntos!G18)-Datos!BG18)/Datos!BG18),(((NºAsuntos!C18+NºAsuntos!E18)/NºAsuntos!G18)-Datos!BG18)/Datos!BG18," - ")</f>
        <v>2.0682734896154492E-2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5.6413591285969761E-2</v>
      </c>
      <c r="C19" s="802">
        <f>IF(ISNUMBER(
   IF(J_V="SI",(Datos!J19-Datos!T19)/Datos!T19,(Datos!J19+Datos!Z19-(Datos!T19+Datos!AH19))/(Datos!T19+Datos!AH19))
     ),IF(J_V="SI",(Datos!J19-Datos!T19)/Datos!T19,(Datos!J19+Datos!Z19-(Datos!T19+Datos!AH19))/(Datos!T19+Datos!AH19))," - ")</f>
        <v>9.3002211944500299E-2</v>
      </c>
      <c r="D19" s="802">
        <f>IF(ISNUMBER(
   IF(J_V="SI",(Datos!K19-Datos!U19)/Datos!U19,(Datos!K19+Datos!AA19-(Datos!U19+Datos!AI19))/(Datos!U19+Datos!AI19))
     ),IF(J_V="SI",(Datos!K19-Datos!U19)/Datos!U19,(Datos!K19+Datos!AA19-(Datos!U19+Datos!AI19))/(Datos!U19+Datos!AI19))," - ")</f>
        <v>3.7132594728588049E-2</v>
      </c>
      <c r="E19" s="802">
        <f>IF(ISNUMBER(
   IF(J_V="SI",(Datos!L19-Datos!V19)/Datos!V19,(Datos!L19+Datos!AB19-(Datos!V19+Datos!AJ19))/(Datos!V19+Datos!AJ19))
     ),IF(J_V="SI",(Datos!L19-Datos!V19)/Datos!V19,(Datos!L19+Datos!AB19-(Datos!V19+Datos!AJ19))/(Datos!V19+Datos!AJ19))," - ")</f>
        <v>0.20544783010156972</v>
      </c>
      <c r="F19" s="803">
        <f>IF(ISNUMBER((Datos!M19-Datos!W19)/Datos!W19),(Datos!M19-Datos!W19)/Datos!W19," - ")</f>
        <v>0.19672610347851505</v>
      </c>
      <c r="G19" s="804">
        <f>IF(ISNUMBER((Datos!N19-Datos!X19)/Datos!X19),(Datos!N19-Datos!X19)/Datos!X19," - ")</f>
        <v>7.2254335260115612E-2</v>
      </c>
      <c r="H19" s="805">
        <f>IF(ISNUMBER((Tasas!B19-Datos!BD19)/Datos!BD19),(Tasas!B19-Datos!BD19)/Datos!BD19," - ")</f>
        <v>-5.111574030259064E-2</v>
      </c>
      <c r="I19" s="806">
        <f>IF(ISNUMBER((Tasas!C19-Datos!BE19)/Datos!BE19),(Tasas!C19-Datos!BE19)/Datos!BE19," - ")</f>
        <v>0.16228902285828642</v>
      </c>
      <c r="J19" s="807">
        <f>IF(ISNUMBER((Tasas!D19-Datos!BF19)/Datos!BF19),(Tasas!D19-Datos!BF19)/Datos!BF19," - ")</f>
        <v>-0.30441903446420471</v>
      </c>
      <c r="K19" s="807">
        <f>IF(ISNUMBER((Tasas!E19-Datos!BG19)/Datos!BG19),(Tasas!E19-Datos!BG19)/Datos!BG19," - ")</f>
        <v>4.5536979798766343E-2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0vvZx2xO5aiuVp6oLB22ZAmEDnW7zIYGG0jsaStTRaEivyCPbQh5rYhCv/cdWIH7R1koNURKCLLAn8qBPmDMrg==" saltValue="YYey+UHe6EoQhwisiwBE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GANDIA</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0.9029287969133637</v>
      </c>
      <c r="C9" s="443">
        <f>IF(ISNUMBER(NºAsuntos!I9/NºAsuntos!G9),NºAsuntos!I9/NºAsuntos!G9," - ")</f>
        <v>0.5236476643682626</v>
      </c>
      <c r="D9" s="444">
        <f>IF(ISNUMBER('Resol  Asuntos'!D9/NºAsuntos!G9),'Resol  Asuntos'!D9/NºAsuntos!G9," - ")</f>
        <v>0.18986112459939788</v>
      </c>
      <c r="E9" s="445">
        <f>IF(ISNUMBER((NºAsuntos!C9+NºAsuntos!E9)/NºAsuntos!G9),(NºAsuntos!C9+NºAsuntos!E9)/NºAsuntos!G9," - ")</f>
        <v>1.5236476643682626</v>
      </c>
      <c r="G9" s="463"/>
    </row>
    <row r="10" spans="1:7">
      <c r="A10" s="402" t="str">
        <f>Datos!A10</f>
        <v>Jdos. Violencia contra la mujer</v>
      </c>
      <c r="B10" s="442">
        <f>IF(ISNUMBER(NºAsuntos!G10/NºAsuntos!E10),NºAsuntos!G10/NºAsuntos!E10," - ")</f>
        <v>1.1612903225806452</v>
      </c>
      <c r="C10" s="443">
        <f>IF(ISNUMBER(NºAsuntos!I10/NºAsuntos!G10),NºAsuntos!I10/NºAsuntos!G10," - ")</f>
        <v>0.71296296296296291</v>
      </c>
      <c r="D10" s="444">
        <f>IF(ISNUMBER('Resol  Asuntos'!D10/NºAsuntos!G10),'Resol  Asuntos'!D10/NºAsuntos!G10," - ")</f>
        <v>0.60185185185185186</v>
      </c>
      <c r="E10" s="445">
        <f>IF(ISNUMBER((NºAsuntos!C10+NºAsuntos!E10)/NºAsuntos!G10),(NºAsuntos!C10+NºAsuntos!E10)/NºAsuntos!G10," - ")</f>
        <v>1.712962962962963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0.90501870053057321</v>
      </c>
      <c r="C13" s="859">
        <f>IF(ISNUMBER(NºAsuntos!I13/NºAsuntos!G13),NºAsuntos!I13/NºAsuntos!G13," - ")</f>
        <v>0.52561268620855361</v>
      </c>
      <c r="D13" s="860">
        <f>IF(ISNUMBER('Resol  Asuntos'!D13/NºAsuntos!G13),'Resol  Asuntos'!D13/NºAsuntos!G13," - ")</f>
        <v>0.19413743392599711</v>
      </c>
      <c r="E13" s="861">
        <f>IF(ISNUMBER((NºAsuntos!C13+NºAsuntos!E13)/NºAsuntos!G13),(NºAsuntos!C13+NºAsuntos!E13)/NºAsuntos!G13," - ")</f>
        <v>1.5256126862085535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0.98495432563138097</v>
      </c>
      <c r="C15" s="443">
        <f>IF(ISNUMBER(NºAsuntos!I15/NºAsuntos!G15),NºAsuntos!I15/NºAsuntos!G15," - ")</f>
        <v>0.24506273867975994</v>
      </c>
      <c r="D15" s="444">
        <f>IF(ISNUMBER('Resol  Asuntos'!D15/NºAsuntos!G15),'Resol  Asuntos'!D15/NºAsuntos!G15," - ")</f>
        <v>0.19749045280960176</v>
      </c>
      <c r="E15" s="445">
        <f>IF(ISNUMBER((NºAsuntos!C15+NºAsuntos!E15)/NºAsuntos!G15),(NºAsuntos!C15+NºAsuntos!E15)/NºAsuntos!G15," - ")</f>
        <v>1.2348063284233497</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0.99042553191489358</v>
      </c>
      <c r="C17" s="443">
        <f>IF(ISNUMBER(NºAsuntos!I17/NºAsuntos!G17),NºAsuntos!I17/NºAsuntos!G17," - ")</f>
        <v>0.12674543501611171</v>
      </c>
      <c r="D17" s="444">
        <f>IF(ISNUMBER('Resol  Asuntos'!D17/NºAsuntos!G17),'Resol  Asuntos'!D17/NºAsuntos!G17," - ")</f>
        <v>0.28356605800214824</v>
      </c>
      <c r="E17" s="445">
        <f>IF(ISNUMBER((NºAsuntos!C17+NºAsuntos!E17)/NºAsuntos!G17),(NºAsuntos!C17+NºAsuntos!E17)/NºAsuntos!G17," - ")</f>
        <v>1.1267454350161117</v>
      </c>
      <c r="G17" s="463"/>
    </row>
    <row r="18" spans="1:7" ht="14.25" thickTop="1" thickBot="1">
      <c r="A18" s="848" t="str">
        <f>Datos!A18</f>
        <v>TOTAL</v>
      </c>
      <c r="B18" s="858">
        <f>IF(ISNUMBER(NºAsuntos!G18/NºAsuntos!E18),NºAsuntos!G18/NºAsuntos!E18," - ")</f>
        <v>0.98545632015617379</v>
      </c>
      <c r="C18" s="859">
        <f>IF(ISNUMBER(NºAsuntos!I18/NºAsuntos!G18),NºAsuntos!I18/NºAsuntos!G18," - ")</f>
        <v>0.23415213946117275</v>
      </c>
      <c r="D18" s="862">
        <f>IF(ISNUMBER('Resol  Asuntos'!D18/NºAsuntos!G18),'Resol  Asuntos'!D18/NºAsuntos!G18," - ")</f>
        <v>0.20542789223454833</v>
      </c>
      <c r="E18" s="861">
        <f>IF(ISNUMBER((NºAsuntos!C18+NºAsuntos!E18)/NºAsuntos!G18),(NºAsuntos!C18+NºAsuntos!E18)/NºAsuntos!G18," - ")</f>
        <v>1.2248415213946118</v>
      </c>
      <c r="G18" s="463"/>
    </row>
    <row r="19" spans="1:7" ht="15.75" customHeight="1" thickTop="1" thickBot="1">
      <c r="A19" s="793" t="str">
        <f>Datos!A19</f>
        <v>TOTAL JURISDICCIONES</v>
      </c>
      <c r="B19" s="808">
        <f>IF(ISNUMBER(NºAsuntos!G19/NºAsuntos!E19),NºAsuntos!G19/NºAsuntos!E19," - ")</f>
        <v>0.94292153435746484</v>
      </c>
      <c r="C19" s="809">
        <f>IF(ISNUMBER(NºAsuntos!I19/NºAsuntos!G19),NºAsuntos!I19/NºAsuntos!G19," - ")</f>
        <v>0.38207892297936685</v>
      </c>
      <c r="D19" s="810">
        <f>IF(ISNUMBER('Resol  Asuntos'!D19/NºAsuntos!G19),'Resol  Asuntos'!D19/NºAsuntos!G19," - ")</f>
        <v>0.19969757572801328</v>
      </c>
      <c r="E19" s="811">
        <f>IF(ISNUMBER((NºAsuntos!C19+NºAsuntos!E19)/NºAsuntos!G19),(NºAsuntos!C19+NºAsuntos!E19)/NºAsuntos!G19," - ")</f>
        <v>1.3774937807911809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7+OANhbeV5wM0DId8fctiKageKz2ygtsKnfYcsNuCNMiSMhKCTU2w9ZMH5UVKDRnof47zuuzTa3g1eOlrxFSWA==" saltValue="Hfg9m4KPKgb4qkXSmvcW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GANDIA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2555</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2855</v>
      </c>
      <c r="Y9" s="334">
        <f>SUM(W9:X9)</f>
        <v>2855</v>
      </c>
      <c r="Z9" s="335" t="str">
        <f>IF(ISNUMBER(Datos!CC9),Datos!CC9," - ")</f>
        <v xml:space="preserve"> - </v>
      </c>
      <c r="AA9" s="332" t="str">
        <f>IF(ISNUMBER(IF(J_V="SI",Datos!L9,Datos!L9+Datos!AB9)-IF(Monitorios="SI",Datos!CD9,0)),
                          IF(J_V="SI",Datos!L9,Datos!L9+Datos!AB9)-IF(Monitorios="SI",Datos!CD9,0),
                          " - ")</f>
        <v xml:space="preserve"> - </v>
      </c>
      <c r="AB9" s="334">
        <f>IF(ISNUMBER(Datos!R9),Datos!R9," - ")</f>
        <v>8064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1955</v>
      </c>
      <c r="AJ9" s="229" t="str">
        <f>IF(ISNUMBER(Datos!BW9),Datos!BW9," - ")</f>
        <v xml:space="preserve"> - </v>
      </c>
      <c r="AK9" s="228" t="str">
        <f>IF(ISNUMBER(Datos!BX9),Datos!BX9," - ")</f>
        <v xml:space="preserve"> - </v>
      </c>
      <c r="AL9" s="243">
        <f>IF(ISNUMBER(NºAsuntos!G9/NºAsuntos!E9),NºAsuntos!G9/NºAsuntos!E9," - ")</f>
        <v>0.9029287969133637</v>
      </c>
      <c r="AM9" s="260">
        <f>IF(ISNUMBER(((NºAsuntos!I9/NºAsuntos!G9)*11)/factor_trimestre),((NºAsuntos!I9/NºAsuntos!G9)*11)/factor_trimestre," - ")</f>
        <v>5.760124308050889</v>
      </c>
      <c r="AN9" s="244">
        <f>IF(ISNUMBER('Resol  Asuntos'!D9/NºAsuntos!G9),'Resol  Asuntos'!D9/NºAsuntos!G9," - ")</f>
        <v>0.18986112459939788</v>
      </c>
      <c r="AO9" s="245">
        <f>IF(ISNUMBER((NºAsuntos!C9+NºAsuntos!E9)/NºAsuntos!G9),(NºAsuntos!C9+NºAsuntos!E9)/NºAsuntos!G9," - ")</f>
        <v>1.5236476643682626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92</v>
      </c>
      <c r="G10" s="333">
        <f>IF(ISNUMBER(Datos!I10),Datos!I10," - ")</f>
        <v>92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108</v>
      </c>
      <c r="X10" s="226">
        <f>IF(ISNUMBER(Datos!Q10),Datos!Q10," - ")</f>
        <v>24</v>
      </c>
      <c r="Y10" s="334">
        <f t="shared" ref="Y10:Y12" si="0">SUM(W10:X10)</f>
        <v>132</v>
      </c>
      <c r="Z10" s="335" t="str">
        <f>IF(ISNUMBER(Datos!CC10),Datos!CC10," - ")</f>
        <v xml:space="preserve"> - </v>
      </c>
      <c r="AA10" s="332">
        <f>IF(ISNUMBER(Datos!L10),Datos!L10,"-")</f>
        <v>77</v>
      </c>
      <c r="AB10" s="334">
        <f>IF(ISNUMBER(Datos!R10),Datos!R10," - ")</f>
        <v>82</v>
      </c>
      <c r="AC10" s="334">
        <f t="shared" ref="AC10:AC12" si="1">IF(ISNUMBER(AA10+AB10),AA10+AB10," - ")</f>
        <v>159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65</v>
      </c>
      <c r="AJ10" s="231" t="str">
        <f>IF(ISNUMBER(Datos!BW10),Datos!BW10," - ")</f>
        <v xml:space="preserve"> - </v>
      </c>
      <c r="AK10" s="232" t="str">
        <f>IF(ISNUMBER(Datos!BX10),Datos!BX10," - ")</f>
        <v xml:space="preserve"> - </v>
      </c>
      <c r="AL10" s="243">
        <f>IF(ISNUMBER(NºAsuntos!G10/NºAsuntos!E10),NºAsuntos!G10/NºAsuntos!E10," - ")</f>
        <v>1.1612903225806452</v>
      </c>
      <c r="AM10" s="260">
        <f>IF(ISNUMBER(((NºAsuntos!I10/NºAsuntos!G10)*11)/factor_trimestre),((NºAsuntos!I10/NºAsuntos!G10)*11)/factor_trimestre," - ")</f>
        <v>7.8425925925925917</v>
      </c>
      <c r="AN10" s="244">
        <f>IF(ISNUMBER('Resol  Asuntos'!D10/NºAsuntos!G10),'Resol  Asuntos'!D10/NºAsuntos!G10," - ")</f>
        <v>0.60185185185185186</v>
      </c>
      <c r="AO10" s="245">
        <f>IF(ISNUMBER((NºAsuntos!C10+NºAsuntos!E10)/NºAsuntos!G10),(NºAsuntos!C10+NºAsuntos!E10)/NºAsuntos!G10," - ")</f>
        <v>1.712962962962963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v>
      </c>
      <c r="Y12" s="334">
        <f t="shared" si="0"/>
        <v>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271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0</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92</v>
      </c>
      <c r="G13" s="866">
        <f t="shared" si="3"/>
        <v>92</v>
      </c>
      <c r="H13" s="865">
        <f t="shared" si="3"/>
        <v>0</v>
      </c>
      <c r="I13" s="867">
        <f t="shared" si="3"/>
        <v>0</v>
      </c>
      <c r="J13" s="867">
        <f t="shared" si="3"/>
        <v>0</v>
      </c>
      <c r="K13" s="867">
        <f t="shared" si="3"/>
        <v>0</v>
      </c>
      <c r="L13" s="867">
        <f t="shared" si="3"/>
        <v>2591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108</v>
      </c>
      <c r="X13" s="867">
        <f t="shared" si="4"/>
        <v>2887</v>
      </c>
      <c r="Y13" s="868">
        <f t="shared" si="4"/>
        <v>2995</v>
      </c>
      <c r="Z13" s="868">
        <f t="shared" si="4"/>
        <v>0</v>
      </c>
      <c r="AA13" s="868">
        <f t="shared" si="4"/>
        <v>77</v>
      </c>
      <c r="AB13" s="868">
        <f t="shared" si="4"/>
        <v>8417</v>
      </c>
      <c r="AC13" s="868">
        <f t="shared" si="4"/>
        <v>159</v>
      </c>
      <c r="AD13" s="868">
        <f t="shared" si="4"/>
        <v>0</v>
      </c>
      <c r="AE13" s="872">
        <f t="shared" si="4"/>
        <v>0</v>
      </c>
      <c r="AF13" s="865">
        <f t="shared" si="4"/>
        <v>0</v>
      </c>
      <c r="AG13" s="873">
        <f t="shared" si="4"/>
        <v>0</v>
      </c>
      <c r="AH13" s="870">
        <f t="shared" si="4"/>
        <v>0</v>
      </c>
      <c r="AI13" s="865">
        <f t="shared" si="4"/>
        <v>2020</v>
      </c>
      <c r="AJ13" s="867">
        <f t="shared" si="4"/>
        <v>0</v>
      </c>
      <c r="AK13" s="870">
        <f>SUBTOTAL(9,AK9:AK12)</f>
        <v>0</v>
      </c>
      <c r="AL13" s="874">
        <f>IF(ISNUMBER(NºAsuntos!G13/NºAsuntos!E13),NºAsuntos!G13/NºAsuntos!E13," - ")</f>
        <v>0.90501870053057321</v>
      </c>
      <c r="AM13" s="874">
        <f>IF(ISNUMBER(((NºAsuntos!I13/NºAsuntos!G13)*11)/factor_trimestre),((NºAsuntos!I13/NºAsuntos!G13)*11)/factor_trimestre," - ")</f>
        <v>5.7817395482940901</v>
      </c>
      <c r="AN13" s="875">
        <f>IF(ISNUMBER('Resol  Asuntos'!D13/NºAsuntos!G13),'Resol  Asuntos'!D13/NºAsuntos!G13," - ")</f>
        <v>0.19413743392599711</v>
      </c>
      <c r="AO13" s="876">
        <f>IF(ISNUMBER((NºAsuntos!C13+NºAsuntos!E13)/NºAsuntos!G13),(NºAsuntos!C13+NºAsuntos!E13)/NºAsuntos!G13," - ")</f>
        <v>1.5256126862085535</v>
      </c>
      <c r="AP13" s="877" t="str">
        <f t="shared" si="2"/>
        <v xml:space="preserve"> - </v>
      </c>
      <c r="AQ13" s="877">
        <f>IF(ISNUMBER((H13-W13+K13)/(F13)),(H13-W13+K13)/(F13)," - ")</f>
        <v>-1.173913043478261</v>
      </c>
      <c r="AR13" s="878">
        <f>IF(ISNUMBER((Datos!P13-Datos!Q13)/(Datos!R13-Datos!P13+Datos!Q13)),(Datos!P13-Datos!Q13)/(Datos!R13-Datos!P13+Datos!Q13)," - ")</f>
        <v>-3.3972225410306436E-2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3</v>
      </c>
      <c r="B15" s="275" t="s">
        <v>396</v>
      </c>
      <c r="C15" s="160" t="str">
        <f>Datos!A15</f>
        <v xml:space="preserve">Jdos. Instrucción                               </v>
      </c>
      <c r="D15" s="160"/>
      <c r="E15" s="1025">
        <f>IF(ISNUMBER(Datos!AQ15),Datos!AQ15," - ")</f>
        <v>3</v>
      </c>
      <c r="F15" s="225">
        <f>IF(ISNUMBER(AA15+W15-Datos!J15-K15),AA15+W15-Datos!J15-K15," - ")</f>
        <v>2106</v>
      </c>
      <c r="G15" s="333">
        <f>IF(ISNUMBER(IF(D_I="SI",Datos!I15,Datos!I15+Datos!AC15)),IF(D_I="SI",Datos!I15,Datos!I15+Datos!AC15)," - ")</f>
        <v>2012</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478</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9165</v>
      </c>
      <c r="X15" s="226">
        <f>IF(ISNUMBER(Datos!Q15),Datos!Q15," - ")</f>
        <v>517</v>
      </c>
      <c r="Y15" s="334">
        <f>SUM(W15)</f>
        <v>9165</v>
      </c>
      <c r="Z15" s="335" t="str">
        <f>IF(ISNUMBER(Datos!CC15),Datos!CC15," - ")</f>
        <v xml:space="preserve"> - </v>
      </c>
      <c r="AA15" s="332">
        <f>IF(ISNUMBER(IF(D_I="SI",Datos!L15,Datos!L15+Datos!AF15)),IF(D_I="SI",Datos!L15,Datos!L15+Datos!AF15)," - ")</f>
        <v>2246</v>
      </c>
      <c r="AB15" s="334">
        <f>IF(ISNUMBER(Datos!R15),Datos!R15," - ")</f>
        <v>294</v>
      </c>
      <c r="AC15" s="334">
        <f t="shared" ref="AC15:AC17" si="6">IF(ISNUMBER(AA15+AB15),AA15+AB15," - ")</f>
        <v>2540</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1810</v>
      </c>
      <c r="AJ15" s="231" t="str">
        <f>IF(ISNUMBER(Datos!BW15),Datos!BW15," - ")</f>
        <v xml:space="preserve"> - </v>
      </c>
      <c r="AK15" s="232" t="str">
        <f>IF(ISNUMBER(Datos!BX15),Datos!BX15," - ")</f>
        <v xml:space="preserve"> - </v>
      </c>
      <c r="AL15" s="243">
        <f>IF(ISNUMBER(NºAsuntos!G15/NºAsuntos!E15),NºAsuntos!G15/NºAsuntos!E15," - ")</f>
        <v>0.98495432563138097</v>
      </c>
      <c r="AM15" s="260">
        <f>IF(ISNUMBER(((NºAsuntos!I15/NºAsuntos!G15)*11)/factor_trimestre),((NºAsuntos!I15/NºAsuntos!G15)*11)/factor_trimestre," - ")</f>
        <v>2.6956901254773595</v>
      </c>
      <c r="AN15" s="244">
        <f>IF(ISNUMBER('Resol  Asuntos'!D15/NºAsuntos!G15),'Resol  Asuntos'!D15/NºAsuntos!G15," - ")</f>
        <v>0.19749045280960176</v>
      </c>
      <c r="AO15" s="245">
        <f>IF(ISNUMBER((NºAsuntos!C15+NºAsuntos!E15)/NºAsuntos!G15),(NºAsuntos!C15+NºAsuntos!E15)/NºAsuntos!G15," - ")</f>
        <v>1.2348063284233497</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109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54</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931</v>
      </c>
      <c r="X17" s="226">
        <f>IF(ISNUMBER(Datos!Q17),Datos!Q17," - ")</f>
        <v>61</v>
      </c>
      <c r="Y17" s="334">
        <f t="shared" si="7"/>
        <v>992</v>
      </c>
      <c r="Z17" s="335" t="str">
        <f>IF(ISNUMBER(Datos!CC17),Datos!CC17," - ")</f>
        <v xml:space="preserve"> - </v>
      </c>
      <c r="AA17" s="332">
        <f>IF(ISNUMBER(Datos!L17),Datos!L17,"-")</f>
        <v>118</v>
      </c>
      <c r="AB17" s="334">
        <f>IF(ISNUMBER(Datos!R17),Datos!R17," - ")</f>
        <v>17</v>
      </c>
      <c r="AC17" s="334">
        <f t="shared" si="6"/>
        <v>135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264</v>
      </c>
      <c r="AJ17" s="231" t="str">
        <f>IF(ISNUMBER(Datos!BW17),Datos!BW17," - ")</f>
        <v xml:space="preserve"> - </v>
      </c>
      <c r="AK17" s="232" t="str">
        <f>IF(ISNUMBER(Datos!BX17),Datos!BX17," - ")</f>
        <v xml:space="preserve"> - </v>
      </c>
      <c r="AL17" s="243">
        <f>IF(ISNUMBER(NºAsuntos!G17/NºAsuntos!E17),NºAsuntos!G17/NºAsuntos!E17," - ")</f>
        <v>0.99042553191489358</v>
      </c>
      <c r="AM17" s="260">
        <f>IF(ISNUMBER(((NºAsuntos!I17/NºAsuntos!G17)*11)/factor_trimestre),((NºAsuntos!I17/NºAsuntos!G17)*11)/factor_trimestre," - ")</f>
        <v>1.3941997851772288</v>
      </c>
      <c r="AN17" s="244">
        <f>IF(ISNUMBER('Resol  Asuntos'!D17/NºAsuntos!G17),'Resol  Asuntos'!D17/NºAsuntos!G17," - ")</f>
        <v>0.28356605800214824</v>
      </c>
      <c r="AO17" s="245">
        <f>IF(ISNUMBER((NºAsuntos!C17+NºAsuntos!E17)/NºAsuntos!G17),(NºAsuntos!C17+NºAsuntos!E17)/NºAsuntos!G17," - ")</f>
        <v>1.1267454350161117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2106</v>
      </c>
      <c r="G18" s="866">
        <f>SUBTOTAL(9,G15:G17)</f>
        <v>2121</v>
      </c>
      <c r="H18" s="865">
        <f t="shared" ref="H18:O18" si="10">SUBTOTAL(9,H14:H17)</f>
        <v>0</v>
      </c>
      <c r="I18" s="867">
        <f t="shared" si="10"/>
        <v>0</v>
      </c>
      <c r="J18" s="867">
        <f t="shared" si="10"/>
        <v>0</v>
      </c>
      <c r="K18" s="867">
        <f t="shared" si="10"/>
        <v>0</v>
      </c>
      <c r="L18" s="867">
        <f t="shared" si="10"/>
        <v>532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10096</v>
      </c>
      <c r="X18" s="867">
        <f t="shared" si="11"/>
        <v>578</v>
      </c>
      <c r="Y18" s="868">
        <f t="shared" si="11"/>
        <v>10157</v>
      </c>
      <c r="Z18" s="868">
        <f t="shared" si="11"/>
        <v>0</v>
      </c>
      <c r="AA18" s="868">
        <f t="shared" si="11"/>
        <v>2364</v>
      </c>
      <c r="AB18" s="868">
        <f t="shared" si="11"/>
        <v>311</v>
      </c>
      <c r="AC18" s="868">
        <f t="shared" si="11"/>
        <v>2675</v>
      </c>
      <c r="AD18" s="868">
        <f t="shared" si="11"/>
        <v>0</v>
      </c>
      <c r="AE18" s="872">
        <f t="shared" si="11"/>
        <v>0</v>
      </c>
      <c r="AF18" s="865">
        <f t="shared" si="11"/>
        <v>0</v>
      </c>
      <c r="AG18" s="873">
        <f t="shared" si="11"/>
        <v>0</v>
      </c>
      <c r="AH18" s="870">
        <f t="shared" si="11"/>
        <v>0</v>
      </c>
      <c r="AI18" s="865">
        <f t="shared" si="11"/>
        <v>2074</v>
      </c>
      <c r="AJ18" s="867">
        <f t="shared" si="11"/>
        <v>0</v>
      </c>
      <c r="AK18" s="870">
        <f t="shared" si="11"/>
        <v>0</v>
      </c>
      <c r="AL18" s="874">
        <f>IF(ISNUMBER(NºAsuntos!G18/NºAsuntos!E18),NºAsuntos!G18/NºAsuntos!E18," - ")</f>
        <v>0.98545632015617379</v>
      </c>
      <c r="AM18" s="874">
        <f>IF(ISNUMBER(((NºAsuntos!I18/NºAsuntos!G18)*11)/factor_trimestre),((NºAsuntos!I18/NºAsuntos!G18)*11)/factor_trimestre," - ")</f>
        <v>2.5756735340729002</v>
      </c>
      <c r="AN18" s="875">
        <f>IF(ISNUMBER('Resol  Asuntos'!D18/NºAsuntos!G18),'Resol  Asuntos'!D18/NºAsuntos!G18," - ")</f>
        <v>0.20542789223454833</v>
      </c>
      <c r="AO18" s="876">
        <f>IF(ISNUMBER((NºAsuntos!C18+NºAsuntos!E18)/NºAsuntos!G18),(NºAsuntos!C18+NºAsuntos!E18)/NºAsuntos!G18," - ")</f>
        <v>1.2248415213946118</v>
      </c>
      <c r="AP18" s="877" t="str">
        <f t="shared" si="2"/>
        <v xml:space="preserve"> - </v>
      </c>
      <c r="AQ18" s="877">
        <f>IF(ISNUMBER((H18-W18+K18)/(F18)),(H18-W18+K18)/(F18)," - ")</f>
        <v>-4.7939221272554606</v>
      </c>
      <c r="AR18" s="878">
        <f>IF(ISNUMBER((Datos!P18-Datos!Q18)/(Datos!R18-Datos!P18+Datos!Q18)),(Datos!P18-Datos!Q18)/(Datos!R18-Datos!P18+Datos!Q18)," - ")</f>
        <v>-0.12885154061624648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11</v>
      </c>
      <c r="F19" s="820">
        <f t="shared" si="13"/>
        <v>2198</v>
      </c>
      <c r="G19" s="821">
        <f t="shared" si="13"/>
        <v>2213</v>
      </c>
      <c r="H19" s="820">
        <f t="shared" si="13"/>
        <v>0</v>
      </c>
      <c r="I19" s="822">
        <f t="shared" si="13"/>
        <v>0</v>
      </c>
      <c r="J19" s="822">
        <f t="shared" si="13"/>
        <v>0</v>
      </c>
      <c r="K19" s="881">
        <f t="shared" si="13"/>
        <v>0</v>
      </c>
      <c r="L19" s="822">
        <f t="shared" si="13"/>
        <v>3123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10204</v>
      </c>
      <c r="X19" s="821">
        <f t="shared" si="14"/>
        <v>3465</v>
      </c>
      <c r="Y19" s="828">
        <f t="shared" si="14"/>
        <v>13152</v>
      </c>
      <c r="Z19" s="828">
        <f t="shared" si="14"/>
        <v>0</v>
      </c>
      <c r="AA19" s="828">
        <f t="shared" si="14"/>
        <v>2441</v>
      </c>
      <c r="AB19" s="828">
        <f t="shared" si="14"/>
        <v>8728</v>
      </c>
      <c r="AC19" s="828">
        <f t="shared" si="14"/>
        <v>2834</v>
      </c>
      <c r="AD19" s="828">
        <f t="shared" si="14"/>
        <v>0</v>
      </c>
      <c r="AE19" s="830">
        <f t="shared" si="14"/>
        <v>0</v>
      </c>
      <c r="AF19" s="831">
        <f t="shared" si="14"/>
        <v>0</v>
      </c>
      <c r="AG19" s="832">
        <f t="shared" si="14"/>
        <v>0</v>
      </c>
      <c r="AH19" s="830">
        <f t="shared" si="14"/>
        <v>0</v>
      </c>
      <c r="AI19" s="820">
        <f t="shared" si="14"/>
        <v>4094</v>
      </c>
      <c r="AJ19" s="820">
        <f t="shared" si="14"/>
        <v>0</v>
      </c>
      <c r="AK19" s="830">
        <f t="shared" si="14"/>
        <v>0</v>
      </c>
      <c r="AL19" s="884">
        <f>IF(ISNUMBER(NºAsuntos!G19/NºAsuntos!E19),NºAsuntos!G19/NºAsuntos!E19," - ")</f>
        <v>0.94292153435746484</v>
      </c>
      <c r="AM19" s="885">
        <f>IF(ISNUMBER(((NºAsuntos!I19/NºAsuntos!G19)*11)/factor_trimestre),((NºAsuntos!I19/NºAsuntos!G19)*11)/factor_trimestre," - ")</f>
        <v>4.2028681527730356</v>
      </c>
      <c r="AN19" s="885">
        <f>IF(ISNUMBER('Resol  Asuntos'!D19/NºAsuntos!G19),'Resol  Asuntos'!D19/NºAsuntos!G19," - ")</f>
        <v>0.19969757572801328</v>
      </c>
      <c r="AO19" s="886">
        <f>IF(ISNUMBER((NºAsuntos!C19+NºAsuntos!E19)/NºAsuntos!G19),(NºAsuntos!C19+NºAsuntos!E19)/NºAsuntos!G19," - ")</f>
        <v>1.3774937807911809</v>
      </c>
      <c r="AP19" s="887" t="str">
        <f t="shared" si="2"/>
        <v xml:space="preserve"> - </v>
      </c>
      <c r="AQ19" s="888">
        <f>IF(OR(ISNUMBER(FIND("01",Criterios!A8,1)),ISNUMBER(FIND("02",Criterios!A8,1)),ISNUMBER(FIND("03",Criterios!A8,1)),ISNUMBER(FIND("04",Criterios!A8,1))),(I19-W19+K19)/(F19-K19),(H19-W19+K19)/(F19-K19))</f>
        <v>-4.6424021838034575</v>
      </c>
      <c r="AR19" s="889">
        <f>IF(ISNUMBER((Datos!P19-Datos!Q19)/(Datos!R19-Datos!P19+Datos!Q19)),(Datos!P19-Datos!Q19)/(Datos!R19-Datos!P19+Datos!Q19)," - ")</f>
        <v>-3.7706725468577729E-2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885.2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2.6977356760397742</v>
      </c>
      <c r="F21" s="252">
        <f>IF(ISNUMBER(STDEV(F8:F18)),STDEV(F8:F18),"-")</f>
        <v>1162.7834421479063</v>
      </c>
      <c r="G21" s="253">
        <f>IF(ISNUMBER(STDEV(G8:G18)),STDEV(G8:G18),"-")</f>
        <v>1079.0851217582419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5087.2201937797035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998.02316510952699</v>
      </c>
      <c r="AJ21" s="252">
        <f t="shared" si="18"/>
        <v>0</v>
      </c>
      <c r="AK21" s="254">
        <f t="shared" si="18"/>
        <v>0</v>
      </c>
      <c r="AL21" s="249">
        <f t="shared" si="18"/>
        <v>9.3993036220593393E-2</v>
      </c>
      <c r="AM21" s="250">
        <f t="shared" si="18"/>
        <v>2.4842643120064833</v>
      </c>
      <c r="AN21" s="250">
        <f t="shared" si="18"/>
        <v>0.16214669934437587</v>
      </c>
      <c r="AO21" s="251">
        <f t="shared" si="18"/>
        <v>0.2285653362785173</v>
      </c>
      <c r="AP21" s="291" t="str">
        <f t="shared" si="18"/>
        <v>-</v>
      </c>
      <c r="AQ21" s="292">
        <f t="shared" si="18"/>
        <v>2.5597329710957593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gyRbtLMr276MDCPuQqOULALZtHI3FGG3FMuiIypsMNVU3XhYjzNnDBCR5Q5fqhR8PFwusieKyAH3ibAzvD5Sbg==" saltValue="yTyGM5Pjnhq+IwzvBVxTy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GANDIA</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0.18556701030927836</v>
      </c>
      <c r="I9" s="350">
        <f>IF(ISNUMBER((Tasas!C9-Datos!BE9)/Datos!BE9),(Tasas!C9-Datos!BE9)/Datos!BE9," - ")</f>
        <v>0.28376166025404864</v>
      </c>
      <c r="J9" s="349">
        <f>IF(ISNUMBER((Tasas!D9-Datos!BF9)/Datos!BF9),(Tasas!D9-Datos!BF9)/Datos!BF9," - ")</f>
        <v>-0.48846085819013213</v>
      </c>
      <c r="K9" s="351">
        <f>IF(ISNUMBER((Tasas!E9-Datos!BG9)/Datos!BG9),(Tasas!E9-Datos!BG9)/Datos!BG9," - ")</f>
        <v>7.7621942650548684E-2</v>
      </c>
      <c r="M9" t="e">
        <f>IF(Monitorios="SI",Datos!CE9,0)</f>
        <v>#REF!</v>
      </c>
      <c r="N9" t="e">
        <f>IF(Monitorios="SI",Datos!CF9,0)</f>
        <v>#REF!</v>
      </c>
      <c r="O9" t="e">
        <f>IF(Monitorios="SI",Datos!CG9,0)</f>
        <v>#REF!</v>
      </c>
      <c r="P9" t="e">
        <f>IF(Monitorios="SI",Datos!CH9,0)</f>
        <v>#REF!</v>
      </c>
      <c r="Q9">
        <f>IF(J_V="SI",0,Datos!AG9)</f>
        <v>236</v>
      </c>
      <c r="R9">
        <f>IF(J_V="SI",0,Datos!AH9)</f>
        <v>779</v>
      </c>
      <c r="S9">
        <f>IF(J_V="SI",0,Datos!AI9)</f>
        <v>873</v>
      </c>
      <c r="T9">
        <f>IF(J_V="SI",0,Datos!AJ9)</f>
        <v>181</v>
      </c>
    </row>
    <row r="10" spans="2:20" ht="14.25">
      <c r="B10" s="275" t="s">
        <v>246</v>
      </c>
      <c r="C10" s="7" t="str">
        <f>Datos!A10</f>
        <v>Jdos. Violencia contra la mujer</v>
      </c>
      <c r="D10" s="352">
        <f>IF(ISNUMBER((Datos!I10-Datos!S10)/Datos!S10),(Datos!I10-Datos!S10)/Datos!S10," - ")</f>
        <v>0.37313432835820898</v>
      </c>
      <c r="E10" s="348">
        <f>IF(ISNUMBER((Datos!J10-Datos!T10)/Datos!T10),(Datos!J10-Datos!T10)/Datos!T10," - ")</f>
        <v>-0.13084112149532709</v>
      </c>
      <c r="F10" s="348">
        <f>IF(ISNUMBER((Datos!K10-Datos!U10)/Datos!U10),(Datos!K10-Datos!U10)/Datos!U10," - ")</f>
        <v>0.31707317073170732</v>
      </c>
      <c r="G10" s="349">
        <f>IF(ISNUMBER((Datos!L10-Datos!V10)/Datos!V10),(Datos!L10-Datos!V10)/Datos!V10," - ")</f>
        <v>-0.16304347826086957</v>
      </c>
      <c r="H10" s="230">
        <f>IF(ISNUMBER((Datos!M10-Datos!W10)/Datos!W10),(Datos!M10-Datos!W10)/Datos!W10," - ")</f>
        <v>0.80555555555555558</v>
      </c>
      <c r="I10" s="350">
        <f>IF(ISNUMBER((Tasas!C10-Datos!BE10)/Datos!BE10),(Tasas!C10-Datos!BE10)/Datos!BE10," - ")</f>
        <v>-0.36453301127214183</v>
      </c>
      <c r="J10" s="349">
        <f>IF(ISNUMBER((Tasas!D10-Datos!BF10)/Datos!BF10),(Tasas!D10-Datos!BF10)/Datos!BF10," - ")</f>
        <v>0.37088477366255146</v>
      </c>
      <c r="K10" s="351">
        <f>IF(ISNUMBER((Tasas!E10-Datos!BG10)/Datos!BG10),(Tasas!E10-Datos!BG10)/Datos!BG10," - ")</f>
        <v>-0.19274159216687953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0.19881305637982197</v>
      </c>
      <c r="I13" s="357">
        <f>IF(ISNUMBER((Tasas!C13-Datos!BE13)/Datos!BE13),(Tasas!C13-Datos!BE13)/Datos!BE13," - ")</f>
        <v>0.27146153108891158</v>
      </c>
      <c r="J13" s="355">
        <f>IF(ISNUMBER((Tasas!D13-Datos!BF13)/Datos!BF13),(Tasas!D13-Datos!BF13)/Datos!BF13," - ")</f>
        <v>-0.47816015475794427</v>
      </c>
      <c r="K13" s="358">
        <f>IF(ISNUMBER((Tasas!E13-Datos!BG13)/Datos!BG13),(Tasas!E13-Datos!BG13)/Datos!BG13," - ")</f>
        <v>7.4872712375310319E-2</v>
      </c>
      <c r="M13" t="e">
        <f>IF(Monitorios="SI",Datos!CE13,0)</f>
        <v>#REF!</v>
      </c>
      <c r="N13" t="e">
        <f>IF(Monitorios="SI",Datos!CF13,0)</f>
        <v>#REF!</v>
      </c>
      <c r="O13" t="e">
        <f>IF(Monitorios="SI",Datos!CG13,0)</f>
        <v>#REF!</v>
      </c>
      <c r="P13" t="e">
        <f>IF(Monitorios="SI",Datos!CH13,0)</f>
        <v>#REF!</v>
      </c>
      <c r="Q13">
        <f>IF(J_V="SI",0,Datos!AG13)</f>
        <v>236</v>
      </c>
      <c r="R13">
        <f>IF(J_V="SI",0,Datos!AH13)</f>
        <v>779</v>
      </c>
      <c r="S13">
        <f>IF(J_V="SI",0,Datos!AI13)</f>
        <v>873</v>
      </c>
      <c r="T13">
        <f>IF(J_V="SI",0,Datos!AJ13)</f>
        <v>181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0.45165945165945165</v>
      </c>
      <c r="E15" s="348">
        <f>IF(ISNUMBER(
   IF(D_I="SI",(Datos!J15-Datos!T15)/Datos!T15,(Datos!J15+Datos!AD15-(Datos!T15+Datos!AL15))/(Datos!T15+Datos!AL15))
     ),IF(D_I="SI",(Datos!J15-Datos!T15)/Datos!T15,(Datos!J15+Datos!AD15-(Datos!T15+Datos!AL15))/(Datos!T15+Datos!AL15))," - ")</f>
        <v>8.1096781689322647E-2</v>
      </c>
      <c r="F15" s="348">
        <f>IF(ISNUMBER(
   IF(D_I="SI",(Datos!K15-Datos!U15)/Datos!U15,(Datos!K15+Datos!AE15-(Datos!U15+Datos!AM15))/(Datos!U15+Datos!AM15))
     ),IF(D_I="SI",(Datos!K15-Datos!U15)/Datos!U15,(Datos!K15+Datos!AE15-(Datos!U15+Datos!AM15))/(Datos!U15+Datos!AM15))," - ")</f>
        <v>0.10889292196007259</v>
      </c>
      <c r="G15" s="349">
        <f>IF(ISNUMBER(
   IF(D_I="SI",(Datos!L15-Datos!V15)/Datos!V15,(Datos!L15+Datos!AF15-(Datos!V15+Datos!AN15))/(Datos!V15+Datos!AN15))
     ),IF(D_I="SI",(Datos!L15-Datos!V15)/Datos!V15,(Datos!L15+Datos!AF15-(Datos!V15+Datos!AN15))/(Datos!V15+Datos!AN15))," - ")</f>
        <v>0.11630218687872763</v>
      </c>
      <c r="H15" s="230">
        <f>IF(ISNUMBER((Datos!M15-Datos!W15)/Datos!W15),(Datos!M15-Datos!W15)/Datos!W15," - ")</f>
        <v>0.20827770360480641</v>
      </c>
      <c r="I15" s="350">
        <f>IF(ISNUMBER((Tasas!C15-Datos!BE15)/Datos!BE15),(Tasas!C15-Datos!BE15)/Datos!BE15," - ")</f>
        <v>6.6816775289343317E-3</v>
      </c>
      <c r="J15" s="349">
        <f>IF(ISNUMBER((Tasas!D15-Datos!BF15)/Datos!BF15),(Tasas!D15-Datos!BF15)/Datos!BF15," - ")</f>
        <v>8.9625228619064509E-2</v>
      </c>
      <c r="K15" s="351">
        <f>IF(ISNUMBER((Tasas!E15-Datos!BG15)/Datos!BG15),(Tasas!E15-Datos!BG15)/Datos!BG15," - ")</f>
        <v>2.1282328071548701E-2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0.18478260869565216</v>
      </c>
      <c r="E17" s="348">
        <f>IF(ISNUMBER(
   IF(D_I="SI",(Datos!J17-Datos!T17)/Datos!T17,(Datos!J17+Datos!AD17-(Datos!T17+Datos!AL17))/(Datos!T17+Datos!AL17))
     ),IF(D_I="SI",(Datos!J17-Datos!T17)/Datos!T17,(Datos!J17+Datos!AD17-(Datos!T17+Datos!AL17))/(Datos!T17+Datos!AL17))," - ")</f>
        <v>1.0752688172043012E-2</v>
      </c>
      <c r="F17" s="348">
        <f>IF(ISNUMBER(
   IF(D_I="SI",(Datos!K17-Datos!U17)/Datos!U17,(Datos!K17+Datos!AE17-(Datos!U17+Datos!AM17))/(Datos!U17+Datos!AM17))
     ),IF(D_I="SI",(Datos!K17-Datos!U17)/Datos!U17,(Datos!K17+Datos!AE17-(Datos!U17+Datos!AM17))/(Datos!U17+Datos!AM17))," - ")</f>
        <v>1.8599562363238512E-2</v>
      </c>
      <c r="G17" s="349">
        <f>IF(ISNUMBER(
   IF(D_I="SI",(Datos!L17-Datos!V17)/Datos!V17,(Datos!L17+Datos!AF17-(Datos!V17+Datos!AN17))/(Datos!V17+Datos!AN17))
     ),IF(D_I="SI",(Datos!L17-Datos!V17)/Datos!V17,(Datos!L17+Datos!AF17-(Datos!V17+Datos!AN17))/(Datos!V17+Datos!AN17))," - ")</f>
        <v>8.2568807339449546E-2</v>
      </c>
      <c r="H17" s="230">
        <f>IF(ISNUMBER((Datos!M17-Datos!W17)/Datos!W17),(Datos!M17-Datos!W17)/Datos!W17," - ")</f>
        <v>0.1092436974789916</v>
      </c>
      <c r="I17" s="350">
        <f>IF(ISNUMBER((Tasas!C17-Datos!BE17)/Datos!BE17),(Tasas!C17-Datos!BE17)/Datos!BE17," - ")</f>
        <v>6.280117068556057E-2</v>
      </c>
      <c r="J17" s="349">
        <f>IF(ISNUMBER((Tasas!D17-Datos!BF17)/Datos!BF17),(Tasas!D17-Datos!BF17)/Datos!BF17," - ")</f>
        <v>8.8988979050266717E-2</v>
      </c>
      <c r="K17" s="351">
        <f>IF(ISNUMBER((Tasas!E17-Datos!BG17)/Datos!BG17),(Tasas!E17-Datos!BG17)/Datos!BG17," - ")</f>
        <v>7.6764457971879524E-3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0.43504736129905275</v>
      </c>
      <c r="E18" s="354">
        <f>IF(ISNUMBER(
   IF(D_I="SI",(Datos!J18-Datos!T18)/Datos!T18,(Datos!J18+Datos!AD18-(Datos!T18+Datos!AL18))/(Datos!T18+Datos!AL18))
     ),IF(D_I="SI",(Datos!J18-Datos!T18)/Datos!T18,(Datos!J18+Datos!AD18-(Datos!T18+Datos!AL18))/(Datos!T18+Datos!AL18))," - ")</f>
        <v>7.4237181503617494E-2</v>
      </c>
      <c r="F18" s="354">
        <f>IF(ISNUMBER(
   IF(D_I="SI",(Datos!K18-Datos!U18)/Datos!U18,(Datos!K18+Datos!AE18-(Datos!U18+Datos!AM18))/(Datos!U18+Datos!AM18))
     ),IF(D_I="SI",(Datos!K18-Datos!U18)/Datos!U18,(Datos!K18+Datos!AE18-(Datos!U18+Datos!AM18))/(Datos!U18+Datos!AM18))," - ")</f>
        <v>9.9901950103497117E-2</v>
      </c>
      <c r="G18" s="355">
        <f>IF(ISNUMBER(
   IF(D_I="SI",(Datos!L18-Datos!V18)/Datos!V18,(Datos!L18+Datos!AF18-(Datos!V18+Datos!AN18))/(Datos!V18+Datos!AN18))
     ),IF(D_I="SI",(Datos!L18-Datos!V18)/Datos!V18,(Datos!L18+Datos!AF18-(Datos!V18+Datos!AN18))/(Datos!V18+Datos!AN18))," - ")</f>
        <v>0.11456859971711457</v>
      </c>
      <c r="H18" s="356">
        <f>IF(ISNUMBER((Datos!M18-Datos!W18)/Datos!W18),(Datos!M18-Datos!W18)/Datos!W18," - ")</f>
        <v>0.19470046082949308</v>
      </c>
      <c r="I18" s="357">
        <f>IF(ISNUMBER((Tasas!C18-Datos!BE18)/Datos!BE18),(Tasas!C18-Datos!BE18)/Datos!BE18," - ")</f>
        <v>1.3334506418719833E-2</v>
      </c>
      <c r="J18" s="355">
        <f>IF(ISNUMBER((Tasas!D18-Datos!BF18)/Datos!BF18),(Tasas!D18-Datos!BF18)/Datos!BF18," - ")</f>
        <v>8.6188146786243675E-2</v>
      </c>
      <c r="K18" s="358">
        <f>IF(ISNUMBER((Tasas!E18-Datos!BG18)/Datos!BG18),(Tasas!E18-Datos!BG18)/Datos!BG18," - ")</f>
        <v>2.0682734896154492E-2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5.6413591285969761E-2</v>
      </c>
      <c r="E19" s="363">
        <f>IF(ISNUMBER(
   IF(J_V="SI",(Datos!J19-Datos!T19)/Datos!T19,(Datos!J19+Datos!Z19-(Datos!T19+Datos!AH19))/(Datos!T19+Datos!AH19))
     ),IF(J_V="SI",(Datos!J19-Datos!T19)/Datos!T19,(Datos!J19+Datos!Z19-(Datos!T19+Datos!AH19))/(Datos!T19+Datos!AH19))," - ")</f>
        <v>9.3002211944500299E-2</v>
      </c>
      <c r="F19" s="363">
        <f>IF(ISNUMBER(
   IF(J_V="SI",(Datos!K19-Datos!U19)/Datos!U19,(Datos!K19+Datos!AA19-(Datos!U19+Datos!AI19))/(Datos!U19+Datos!AI19))
     ),IF(J_V="SI",(Datos!K19-Datos!U19)/Datos!U19,(Datos!K19+Datos!AA19-(Datos!U19+Datos!AI19))/(Datos!U19+Datos!AI19))," - ")</f>
        <v>3.7132594728588049E-2</v>
      </c>
      <c r="G19" s="364">
        <f>IF(ISNUMBER(
   IF(J_V="SI",(Datos!L19-Datos!V19)/Datos!V19,(Datos!L19+Datos!AB19-(Datos!V19+Datos!AJ19))/(Datos!V19+Datos!AJ19))
     ),IF(J_V="SI",(Datos!L19-Datos!V19)/Datos!V19,(Datos!L19+Datos!AB19-(Datos!V19+Datos!AJ19))/(Datos!V19+Datos!AJ19))," - ")</f>
        <v>0.20544783010156972</v>
      </c>
      <c r="H19" s="365">
        <f>IF(ISNUMBER((Datos!M19-Datos!W19)/Datos!W19),(Datos!M19-Datos!W19)/Datos!W19," - ")</f>
        <v>0.19672610347851505</v>
      </c>
      <c r="I19" s="362">
        <f>IF(ISNUMBER((Tasas!C19-Datos!BE19)/Datos!BE19),(Tasas!C19-Datos!BE19)/Datos!BE19," - ")</f>
        <v>0.16228902285828642</v>
      </c>
      <c r="J19" s="363">
        <f>IF(ISNUMBER((Tasas!D19-Datos!BF19)/Datos!BF19),(Tasas!D19-Datos!BF19)/Datos!BF19," - ")</f>
        <v>-0.30441903446420471</v>
      </c>
      <c r="K19" s="364">
        <f>IF(ISNUMBER((Tasas!E19-Datos!BG19)/Datos!BG19),(Tasas!E19-Datos!BG19)/Datos!BG19," - ")</f>
        <v>4.5536979798766343E-2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0.12234086472821185</v>
      </c>
      <c r="E21" s="278">
        <f t="shared" si="1"/>
        <v>9.8340064150034392E-2</v>
      </c>
      <c r="F21" s="278">
        <f t="shared" si="1"/>
        <v>0.12728991075321486</v>
      </c>
      <c r="G21" s="279">
        <f t="shared" si="1"/>
        <v>0.13465783621248853</v>
      </c>
      <c r="H21" s="285">
        <f t="shared" si="1"/>
        <v>0.25815248969596799</v>
      </c>
      <c r="I21" s="277">
        <f t="shared" si="1"/>
        <v>0.23613346705790542</v>
      </c>
      <c r="J21" s="278">
        <f t="shared" si="1"/>
        <v>0.349260333525716</v>
      </c>
      <c r="K21" s="279">
        <f t="shared" si="1"/>
        <v>9.9704906156763959E-2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VqBM9kSthhPbGGH4vSSmp7ZgmZpFWHjgp2OoAHAb+YVgNScU9kSV4zCVA9ldjEJWwG/TB1c7JfA5/Emn8PU3g==" saltValue="KCGo132knGD8jQ2ArLEPc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2025-02-28T09:43:40Z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